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sull\Dropbox\2LGA\"/>
    </mc:Choice>
  </mc:AlternateContent>
  <xr:revisionPtr revIDLastSave="0" documentId="13_ncr:1_{242D3B3D-9BAF-45F2-B774-2C845A695C83}" xr6:coauthVersionLast="47" xr6:coauthVersionMax="47" xr10:uidLastSave="{00000000-0000-0000-0000-000000000000}"/>
  <bookViews>
    <workbookView xWindow="-120" yWindow="-120" windowWidth="20730" windowHeight="11160" xr2:uid="{CF53FDDD-89D2-4F8C-9FD7-AA784D3336BB}"/>
  </bookViews>
  <sheets>
    <sheet name="2024 NQ H1 Profiles MASTER" sheetId="16" r:id="rId1"/>
    <sheet name="Printing" sheetId="24" r:id="rId2"/>
    <sheet name="Dash" sheetId="7" r:id="rId3"/>
    <sheet name="Scr" sheetId="2" r:id="rId4"/>
    <sheet name="LP" sheetId="3" r:id="rId5"/>
    <sheet name="ZD" sheetId="4" r:id="rId6"/>
    <sheet name="Wall" sheetId="5" r:id="rId7"/>
    <sheet name="1s" sheetId="20" r:id="rId8"/>
    <sheet name="2s" sheetId="9" r:id="rId9"/>
    <sheet name="3s" sheetId="21" r:id="rId10"/>
    <sheet name="4s" sheetId="22" r:id="rId11"/>
    <sheet name="Range" sheetId="23" r:id="rId12"/>
  </sheets>
  <calcPr calcId="191029"/>
</workbook>
</file>

<file path=xl/calcChain.xml><?xml version="1.0" encoding="utf-8"?>
<calcChain xmlns="http://schemas.openxmlformats.org/spreadsheetml/2006/main">
  <c r="D2" i="24" l="1"/>
  <c r="A2" i="24"/>
  <c r="E3" i="24"/>
  <c r="D3" i="24"/>
  <c r="C3" i="24"/>
  <c r="B3" i="24"/>
  <c r="A3" i="24"/>
  <c r="E1" i="24"/>
  <c r="A1" i="24"/>
  <c r="B1" i="24"/>
  <c r="V72" i="7"/>
  <c r="U72" i="7"/>
  <c r="T72" i="7"/>
  <c r="S72" i="7"/>
  <c r="V65" i="7"/>
  <c r="U65" i="7"/>
  <c r="T65" i="7"/>
  <c r="S65" i="7"/>
  <c r="V58" i="7"/>
  <c r="U58" i="7"/>
  <c r="T58" i="7"/>
  <c r="S58" i="7"/>
  <c r="V64" i="7"/>
  <c r="U64" i="7"/>
  <c r="T64" i="7"/>
  <c r="V63" i="7"/>
  <c r="U63" i="7"/>
  <c r="T63" i="7"/>
  <c r="V62" i="7"/>
  <c r="U62" i="7"/>
  <c r="T62" i="7"/>
  <c r="V61" i="7"/>
  <c r="U61" i="7"/>
  <c r="T61" i="7"/>
  <c r="V54" i="7"/>
  <c r="U54" i="7"/>
  <c r="T54" i="7"/>
  <c r="U57" i="7"/>
  <c r="T57" i="7"/>
  <c r="S57" i="7"/>
  <c r="V57" i="7"/>
  <c r="V56" i="7"/>
  <c r="U56" i="7"/>
  <c r="T56" i="7"/>
  <c r="S56" i="7"/>
  <c r="V55" i="7"/>
  <c r="U55" i="7"/>
  <c r="T55" i="7"/>
  <c r="S55" i="7"/>
  <c r="S54" i="7"/>
  <c r="V68" i="7"/>
  <c r="U68" i="7"/>
  <c r="T68" i="7"/>
  <c r="S68" i="7"/>
  <c r="S61" i="7"/>
  <c r="E72" i="7"/>
  <c r="D72" i="7"/>
  <c r="C72" i="7"/>
  <c r="E71" i="7"/>
  <c r="D71" i="7"/>
  <c r="C71" i="7"/>
  <c r="E70" i="7"/>
  <c r="D70" i="7"/>
  <c r="C70" i="7"/>
  <c r="E69" i="7"/>
  <c r="D69" i="7"/>
  <c r="C69" i="7"/>
  <c r="E68" i="7"/>
  <c r="D68" i="7"/>
  <c r="C68" i="7"/>
  <c r="B72" i="7"/>
  <c r="B71" i="7"/>
  <c r="B70" i="7"/>
  <c r="B69" i="7"/>
  <c r="B68" i="7"/>
  <c r="E64" i="7"/>
  <c r="D64" i="7"/>
  <c r="C64" i="7"/>
  <c r="E63" i="7"/>
  <c r="D63" i="7"/>
  <c r="C63" i="7"/>
  <c r="E62" i="7"/>
  <c r="D62" i="7"/>
  <c r="C62" i="7"/>
  <c r="E61" i="7"/>
  <c r="D61" i="7"/>
  <c r="C61" i="7"/>
  <c r="B64" i="7"/>
  <c r="B63" i="7"/>
  <c r="B62" i="7"/>
  <c r="B61" i="7"/>
  <c r="B56" i="7"/>
  <c r="B55" i="7"/>
  <c r="B54" i="7"/>
  <c r="B60" i="7"/>
  <c r="B53" i="7"/>
  <c r="E60" i="7"/>
  <c r="D60" i="7"/>
  <c r="C60" i="7"/>
  <c r="B52" i="7"/>
  <c r="E49" i="7"/>
  <c r="I46" i="7"/>
  <c r="H46" i="7"/>
  <c r="G46" i="7"/>
  <c r="F46" i="7"/>
  <c r="E46" i="7"/>
  <c r="D46" i="7"/>
  <c r="D47" i="7"/>
  <c r="E47" i="7"/>
  <c r="F47" i="7"/>
  <c r="G47" i="7"/>
  <c r="H47" i="7"/>
  <c r="I47" i="7"/>
  <c r="I49" i="7"/>
  <c r="H49" i="7"/>
  <c r="G49" i="7"/>
  <c r="F49" i="7"/>
  <c r="D49" i="7"/>
  <c r="Y101" i="7"/>
  <c r="Y100" i="7"/>
  <c r="Y99" i="7"/>
  <c r="Y98" i="7"/>
  <c r="Y97" i="7"/>
  <c r="Y96" i="7"/>
  <c r="X101" i="7"/>
  <c r="X100" i="7"/>
  <c r="X99" i="7"/>
  <c r="X98" i="7"/>
  <c r="X97" i="7"/>
  <c r="X96" i="7"/>
  <c r="W101" i="7"/>
  <c r="W100" i="7"/>
  <c r="W99" i="7"/>
  <c r="W98" i="7"/>
  <c r="W97" i="7"/>
  <c r="W96" i="7"/>
  <c r="V101" i="7"/>
  <c r="V100" i="7"/>
  <c r="V99" i="7"/>
  <c r="V98" i="7"/>
  <c r="V97" i="7"/>
  <c r="V96" i="7"/>
  <c r="U101" i="7"/>
  <c r="U100" i="7"/>
  <c r="U99" i="7"/>
  <c r="U98" i="7"/>
  <c r="U97" i="7"/>
  <c r="U96" i="7"/>
  <c r="S101" i="7"/>
  <c r="S100" i="7"/>
  <c r="S99" i="7"/>
  <c r="S98" i="7"/>
  <c r="S97" i="7"/>
  <c r="S96" i="7"/>
  <c r="T101" i="7"/>
  <c r="T100" i="7"/>
  <c r="T99" i="7"/>
  <c r="T98" i="7"/>
  <c r="T97" i="7"/>
  <c r="T96" i="7"/>
  <c r="R101" i="7"/>
  <c r="R100" i="7"/>
  <c r="R99" i="7"/>
  <c r="R98" i="7"/>
  <c r="R97" i="7"/>
  <c r="R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V95" i="7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U86" i="7"/>
  <c r="S86" i="7"/>
  <c r="T86" i="7"/>
  <c r="R86" i="7"/>
  <c r="U95" i="7"/>
  <c r="U94" i="7"/>
  <c r="U93" i="7"/>
  <c r="U92" i="7"/>
  <c r="U91" i="7"/>
  <c r="U90" i="7"/>
  <c r="U89" i="7"/>
  <c r="U88" i="7"/>
  <c r="U87" i="7"/>
  <c r="U85" i="7"/>
  <c r="U84" i="7"/>
  <c r="U83" i="7"/>
  <c r="U82" i="7"/>
  <c r="U81" i="7"/>
  <c r="U80" i="7"/>
  <c r="S95" i="7"/>
  <c r="S94" i="7"/>
  <c r="S93" i="7"/>
  <c r="S92" i="7"/>
  <c r="S91" i="7"/>
  <c r="S90" i="7"/>
  <c r="S89" i="7"/>
  <c r="S88" i="7"/>
  <c r="S87" i="7"/>
  <c r="S85" i="7"/>
  <c r="S84" i="7"/>
  <c r="S83" i="7"/>
  <c r="S82" i="7"/>
  <c r="S81" i="7"/>
  <c r="S80" i="7"/>
  <c r="T95" i="7"/>
  <c r="T94" i="7"/>
  <c r="T93" i="7"/>
  <c r="T92" i="7"/>
  <c r="T91" i="7"/>
  <c r="T90" i="7"/>
  <c r="T89" i="7"/>
  <c r="T88" i="7"/>
  <c r="T87" i="7"/>
  <c r="T85" i="7"/>
  <c r="T84" i="7"/>
  <c r="T83" i="7"/>
  <c r="T82" i="7"/>
  <c r="T81" i="7"/>
  <c r="T80" i="7"/>
  <c r="R95" i="7"/>
  <c r="R94" i="7"/>
  <c r="R93" i="7"/>
  <c r="R92" i="7"/>
  <c r="R91" i="7"/>
  <c r="R90" i="7"/>
  <c r="R89" i="7"/>
  <c r="R88" i="7"/>
  <c r="R87" i="7"/>
  <c r="R85" i="7"/>
  <c r="R84" i="7"/>
  <c r="R83" i="7"/>
  <c r="R82" i="7"/>
  <c r="R81" i="7"/>
  <c r="R80" i="7"/>
  <c r="K87" i="7"/>
  <c r="I87" i="7"/>
  <c r="J87" i="7"/>
  <c r="H87" i="7"/>
  <c r="F87" i="7"/>
  <c r="C87" i="7"/>
  <c r="E87" i="7"/>
  <c r="B87" i="7"/>
  <c r="K86" i="7"/>
  <c r="I86" i="7"/>
  <c r="J86" i="7"/>
  <c r="H86" i="7"/>
  <c r="F86" i="7"/>
  <c r="C86" i="7"/>
  <c r="E86" i="7"/>
  <c r="B86" i="7"/>
  <c r="K85" i="7"/>
  <c r="I85" i="7"/>
  <c r="J85" i="7"/>
  <c r="H85" i="7"/>
  <c r="F85" i="7"/>
  <c r="C85" i="7"/>
  <c r="E85" i="7"/>
  <c r="B85" i="7"/>
  <c r="K84" i="7"/>
  <c r="I84" i="7"/>
  <c r="J84" i="7"/>
  <c r="H84" i="7"/>
  <c r="F84" i="7"/>
  <c r="C84" i="7"/>
  <c r="E84" i="7"/>
  <c r="B84" i="7"/>
  <c r="B83" i="7"/>
  <c r="K82" i="7"/>
  <c r="I82" i="7"/>
  <c r="J82" i="7"/>
  <c r="H82" i="7"/>
  <c r="F82" i="7"/>
  <c r="E82" i="7"/>
  <c r="B82" i="7"/>
  <c r="C82" i="7"/>
  <c r="E83" i="7"/>
  <c r="C83" i="7"/>
  <c r="H83" i="7"/>
  <c r="J83" i="7"/>
  <c r="I83" i="7"/>
  <c r="K83" i="7"/>
  <c r="F83" i="7"/>
  <c r="E80" i="7"/>
  <c r="B80" i="7"/>
  <c r="K81" i="7"/>
  <c r="I81" i="7"/>
  <c r="J81" i="7"/>
  <c r="H81" i="7"/>
  <c r="F81" i="7"/>
  <c r="C81" i="7"/>
  <c r="E81" i="7"/>
  <c r="B81" i="7"/>
  <c r="K80" i="7"/>
  <c r="I80" i="7"/>
  <c r="J80" i="7"/>
  <c r="H80" i="7"/>
  <c r="F80" i="7"/>
  <c r="C80" i="7"/>
  <c r="AW40" i="7"/>
  <c r="AW39" i="7"/>
  <c r="AW38" i="7"/>
  <c r="AW37" i="7"/>
  <c r="AV40" i="7"/>
  <c r="AV39" i="7"/>
  <c r="AV38" i="7"/>
  <c r="AV37" i="7"/>
  <c r="AU40" i="7"/>
  <c r="AU39" i="7"/>
  <c r="AU38" i="7"/>
  <c r="AU37" i="7"/>
  <c r="AL40" i="7"/>
  <c r="AL39" i="7"/>
  <c r="AL38" i="7"/>
  <c r="AL37" i="7"/>
  <c r="AK40" i="7"/>
  <c r="AK39" i="7"/>
  <c r="AK38" i="7"/>
  <c r="AK37" i="7"/>
  <c r="AJ40" i="7"/>
  <c r="AJ39" i="7"/>
  <c r="AJ38" i="7"/>
  <c r="AJ37" i="7"/>
  <c r="AA40" i="7"/>
  <c r="AA39" i="7"/>
  <c r="AA38" i="7"/>
  <c r="AA37" i="7"/>
  <c r="Z40" i="7"/>
  <c r="Z39" i="7"/>
  <c r="Z38" i="7"/>
  <c r="Z37" i="7"/>
  <c r="Y39" i="7"/>
  <c r="Y38" i="7"/>
  <c r="Y37" i="7"/>
  <c r="Y40" i="7"/>
  <c r="N37" i="7"/>
  <c r="P40" i="7"/>
  <c r="P39" i="7"/>
  <c r="P38" i="7"/>
  <c r="P37" i="7"/>
  <c r="O40" i="7"/>
  <c r="O38" i="7"/>
  <c r="O37" i="7"/>
  <c r="N40" i="7"/>
  <c r="N38" i="7"/>
  <c r="E37" i="7"/>
  <c r="D37" i="7"/>
  <c r="D38" i="7"/>
  <c r="C37" i="7"/>
  <c r="C40" i="7"/>
  <c r="D40" i="7"/>
  <c r="E40" i="7"/>
  <c r="E38" i="7"/>
  <c r="C38" i="7"/>
  <c r="E39" i="7"/>
  <c r="D39" i="7"/>
  <c r="C39" i="7"/>
  <c r="E34" i="7" s="1"/>
  <c r="O39" i="7"/>
  <c r="N39" i="7"/>
  <c r="M39" i="7"/>
  <c r="AI40" i="7"/>
  <c r="AI39" i="7"/>
  <c r="AI38" i="7"/>
  <c r="X40" i="7"/>
  <c r="X39" i="7"/>
  <c r="X38" i="7"/>
  <c r="F22" i="7"/>
  <c r="F21" i="7"/>
  <c r="F20" i="7"/>
  <c r="F19" i="7"/>
  <c r="CE41" i="7"/>
  <c r="CD41" i="7"/>
  <c r="CC41" i="7"/>
  <c r="CB41" i="7"/>
  <c r="BT41" i="7"/>
  <c r="BS41" i="7"/>
  <c r="BR41" i="7"/>
  <c r="BQ41" i="7"/>
  <c r="BI41" i="7"/>
  <c r="BH41" i="7"/>
  <c r="BG41" i="7"/>
  <c r="BF41" i="7"/>
  <c r="F35" i="7"/>
  <c r="BE40" i="7"/>
  <c r="BE39" i="7"/>
  <c r="BE38" i="7"/>
  <c r="BE37" i="7"/>
  <c r="CA40" i="7"/>
  <c r="CA39" i="7"/>
  <c r="CA38" i="7"/>
  <c r="CA37" i="7"/>
  <c r="BP40" i="7"/>
  <c r="B37" i="7"/>
  <c r="AT40" i="7"/>
  <c r="M40" i="7"/>
  <c r="AT39" i="7"/>
  <c r="AT38" i="7"/>
  <c r="M38" i="7"/>
  <c r="B38" i="7"/>
  <c r="AT37" i="7"/>
  <c r="AI37" i="7"/>
  <c r="X37" i="7"/>
  <c r="M37" i="7"/>
  <c r="B40" i="7"/>
  <c r="B39" i="7"/>
  <c r="B28" i="7"/>
  <c r="E31" i="7"/>
  <c r="D31" i="7"/>
  <c r="C31" i="7"/>
  <c r="B31" i="7"/>
  <c r="E30" i="7"/>
  <c r="D30" i="7"/>
  <c r="C30" i="7"/>
  <c r="B30" i="7"/>
  <c r="E29" i="7"/>
  <c r="D29" i="7"/>
  <c r="C29" i="7"/>
  <c r="B29" i="7"/>
  <c r="D28" i="7"/>
  <c r="C28" i="7"/>
  <c r="E28" i="7"/>
  <c r="B21" i="7"/>
  <c r="E12" i="7"/>
  <c r="E11" i="7"/>
  <c r="E22" i="7"/>
  <c r="D22" i="7"/>
  <c r="C22" i="7"/>
  <c r="E21" i="7"/>
  <c r="D21" i="7"/>
  <c r="C21" i="7"/>
  <c r="B22" i="7"/>
  <c r="E19" i="7"/>
  <c r="E20" i="7"/>
  <c r="D20" i="7"/>
  <c r="C20" i="7"/>
  <c r="B20" i="7"/>
  <c r="D19" i="7"/>
  <c r="C19" i="7"/>
  <c r="B19" i="7"/>
  <c r="E6" i="7"/>
  <c r="E5" i="7"/>
  <c r="E4" i="7"/>
  <c r="E3" i="7"/>
  <c r="E2" i="7"/>
  <c r="D6" i="7"/>
  <c r="D5" i="7"/>
  <c r="D4" i="7"/>
  <c r="D3" i="7"/>
  <c r="D2" i="7"/>
  <c r="C6" i="7"/>
  <c r="C5" i="7"/>
  <c r="C4" i="7"/>
  <c r="C3" i="7"/>
  <c r="C2" i="7"/>
  <c r="B6" i="7"/>
  <c r="B5" i="7"/>
  <c r="B4" i="7"/>
  <c r="B2" i="7"/>
  <c r="B3" i="7"/>
  <c r="B11" i="7"/>
  <c r="B14" i="7"/>
  <c r="B13" i="7"/>
  <c r="B12" i="7"/>
  <c r="F71" i="7" l="1"/>
  <c r="F72" i="7"/>
  <c r="F70" i="7"/>
  <c r="D73" i="7"/>
  <c r="C73" i="7"/>
  <c r="F69" i="7"/>
  <c r="F64" i="7"/>
  <c r="F63" i="7"/>
  <c r="D65" i="7"/>
  <c r="F62" i="7"/>
  <c r="E65" i="7"/>
  <c r="C65" i="7"/>
  <c r="F61" i="7"/>
  <c r="F68" i="7"/>
  <c r="E73" i="7"/>
  <c r="F60" i="7"/>
  <c r="B73" i="7"/>
  <c r="B65" i="7"/>
  <c r="U335" i="16"/>
  <c r="AB210" i="16"/>
  <c r="AD268" i="16"/>
  <c r="AF197" i="16"/>
  <c r="AH147" i="16"/>
  <c r="AH319" i="16"/>
  <c r="U190" i="16"/>
  <c r="U137" i="16"/>
  <c r="AH42" i="16"/>
  <c r="AF118" i="16"/>
  <c r="AH318" i="16"/>
  <c r="AH41" i="16"/>
  <c r="U72" i="16"/>
  <c r="AF88" i="16"/>
  <c r="AH314" i="16"/>
  <c r="AH9" i="16"/>
  <c r="U4" i="2"/>
  <c r="AF330" i="16"/>
  <c r="AD289" i="16"/>
  <c r="AH266" i="16"/>
  <c r="AI87" i="23"/>
  <c r="U10" i="5"/>
  <c r="AF329" i="16"/>
  <c r="AH190" i="16"/>
  <c r="AI123" i="23"/>
  <c r="AB226" i="16"/>
  <c r="AH155" i="16"/>
  <c r="U61" i="9"/>
  <c r="AF280" i="16"/>
  <c r="AB225" i="16"/>
  <c r="AH154" i="16"/>
  <c r="AI266" i="23"/>
  <c r="AI336" i="23"/>
  <c r="U52" i="9"/>
  <c r="AF281" i="16"/>
  <c r="AI134" i="23"/>
  <c r="AF198" i="16"/>
  <c r="AG334" i="23"/>
  <c r="AG337" i="23"/>
  <c r="AE295" i="23"/>
  <c r="AC32" i="23"/>
  <c r="AA187" i="23"/>
  <c r="U176" i="23"/>
  <c r="U224" i="16"/>
  <c r="AF247" i="16"/>
  <c r="AF46" i="16"/>
  <c r="AH251" i="16"/>
  <c r="AI202" i="23"/>
  <c r="U206" i="16"/>
  <c r="U72" i="2"/>
  <c r="AF307" i="16"/>
  <c r="AF227" i="16"/>
  <c r="AF156" i="16"/>
  <c r="AF36" i="16"/>
  <c r="AD55" i="16"/>
  <c r="AB31" i="16"/>
  <c r="AH249" i="16"/>
  <c r="AH89" i="16"/>
  <c r="AI75" i="23"/>
  <c r="AI212" i="23"/>
  <c r="AF325" i="16"/>
  <c r="AF257" i="16"/>
  <c r="AF75" i="16"/>
  <c r="AG21" i="23"/>
  <c r="AC137" i="23"/>
  <c r="U322" i="16"/>
  <c r="U7" i="2"/>
  <c r="AF310" i="16"/>
  <c r="AF248" i="16"/>
  <c r="AF160" i="16"/>
  <c r="AF72" i="16"/>
  <c r="AD134" i="16"/>
  <c r="AB183" i="16"/>
  <c r="AH263" i="16"/>
  <c r="AH134" i="16"/>
  <c r="AI25" i="23"/>
  <c r="AI183" i="23"/>
  <c r="AC216" i="23"/>
  <c r="U34" i="2"/>
  <c r="AF309" i="16"/>
  <c r="AF157" i="16"/>
  <c r="AD101" i="16"/>
  <c r="AB119" i="16"/>
  <c r="AH90" i="16"/>
  <c r="AI26" i="23"/>
  <c r="U205" i="16"/>
  <c r="U23" i="5"/>
  <c r="AF7" i="16"/>
  <c r="AF299" i="16"/>
  <c r="AF225" i="16"/>
  <c r="AF120" i="16"/>
  <c r="AF32" i="16"/>
  <c r="AD28" i="16"/>
  <c r="AH328" i="16"/>
  <c r="AH223" i="16"/>
  <c r="AH59" i="16"/>
  <c r="AI81" i="23"/>
  <c r="AI245" i="23"/>
  <c r="AF335" i="16"/>
  <c r="AF288" i="16"/>
  <c r="AF219" i="16"/>
  <c r="AF119" i="16"/>
  <c r="AD324" i="16"/>
  <c r="AD25" i="16"/>
  <c r="AF193" i="16"/>
  <c r="AD215" i="16"/>
  <c r="AF246" i="16"/>
  <c r="AF184" i="16"/>
  <c r="AF109" i="16"/>
  <c r="U126" i="16"/>
  <c r="AF321" i="16"/>
  <c r="AF273" i="16"/>
  <c r="AF212" i="16"/>
  <c r="AF142" i="16"/>
  <c r="AF70" i="16"/>
  <c r="AD208" i="16"/>
  <c r="AB118" i="16"/>
  <c r="AH201" i="16"/>
  <c r="AH126" i="16"/>
  <c r="AH19" i="16"/>
  <c r="AI36" i="23"/>
  <c r="AI92" i="23"/>
  <c r="AI248" i="23"/>
  <c r="U297" i="16"/>
  <c r="U105" i="16"/>
  <c r="U63" i="4"/>
  <c r="AF320" i="16"/>
  <c r="AF294" i="16"/>
  <c r="AF267" i="16"/>
  <c r="AF244" i="16"/>
  <c r="AF211" i="16"/>
  <c r="AF179" i="16"/>
  <c r="AF136" i="16"/>
  <c r="AF96" i="16"/>
  <c r="AF56" i="16"/>
  <c r="AF24" i="16"/>
  <c r="AD193" i="16"/>
  <c r="AB330" i="16"/>
  <c r="AB54" i="16"/>
  <c r="AH282" i="16"/>
  <c r="AH200" i="16"/>
  <c r="AH102" i="16"/>
  <c r="AH18" i="16"/>
  <c r="AI46" i="23"/>
  <c r="AG94" i="23"/>
  <c r="AI180" i="23"/>
  <c r="AI250" i="23"/>
  <c r="AF275" i="16"/>
  <c r="AF215" i="16"/>
  <c r="AF155" i="16"/>
  <c r="AF71" i="16"/>
  <c r="AF27" i="16"/>
  <c r="AG88" i="23"/>
  <c r="U299" i="16"/>
  <c r="U26" i="3"/>
  <c r="AF297" i="16"/>
  <c r="AF245" i="16"/>
  <c r="AF183" i="16"/>
  <c r="AF100" i="16"/>
  <c r="AF25" i="16"/>
  <c r="AB334" i="16"/>
  <c r="AH304" i="16"/>
  <c r="AI150" i="23"/>
  <c r="U260" i="16"/>
  <c r="U88" i="16"/>
  <c r="U125" i="4"/>
  <c r="AF317" i="16"/>
  <c r="AF293" i="16"/>
  <c r="AF263" i="16"/>
  <c r="AF235" i="16"/>
  <c r="AF200" i="16"/>
  <c r="AF173" i="16"/>
  <c r="AF135" i="16"/>
  <c r="AF93" i="16"/>
  <c r="AF55" i="16"/>
  <c r="AF11" i="16"/>
  <c r="AD174" i="16"/>
  <c r="AB262" i="16"/>
  <c r="AB32" i="16"/>
  <c r="AH281" i="16"/>
  <c r="AH199" i="16"/>
  <c r="AH91" i="16"/>
  <c r="AH10" i="16"/>
  <c r="AG49" i="23"/>
  <c r="AG112" i="23"/>
  <c r="AG182" i="23"/>
  <c r="AI264" i="23"/>
  <c r="AF311" i="16"/>
  <c r="AF292" i="16"/>
  <c r="AF262" i="16"/>
  <c r="AF230" i="16"/>
  <c r="AF199" i="16"/>
  <c r="AF166" i="16"/>
  <c r="AF134" i="16"/>
  <c r="AF92" i="16"/>
  <c r="AF52" i="16"/>
  <c r="AF9" i="16"/>
  <c r="AG63" i="23"/>
  <c r="AG114" i="23"/>
  <c r="AG22" i="23"/>
  <c r="AG204" i="23"/>
  <c r="AG135" i="23"/>
  <c r="U271" i="16"/>
  <c r="U108" i="16"/>
  <c r="U31" i="20"/>
  <c r="AF328" i="16"/>
  <c r="AF308" i="16"/>
  <c r="AF283" i="16"/>
  <c r="AF261" i="16"/>
  <c r="AF233" i="16"/>
  <c r="AF209" i="16"/>
  <c r="AF182" i="16"/>
  <c r="AF143" i="16"/>
  <c r="AF110" i="16"/>
  <c r="AF73" i="16"/>
  <c r="AF45" i="16"/>
  <c r="AD327" i="16"/>
  <c r="AD135" i="16"/>
  <c r="AB263" i="16"/>
  <c r="AB98" i="16"/>
  <c r="AH313" i="16"/>
  <c r="AH231" i="16"/>
  <c r="AH153" i="16"/>
  <c r="AH70" i="16"/>
  <c r="AC18" i="23"/>
  <c r="AG62" i="23"/>
  <c r="AI110" i="23"/>
  <c r="AI170" i="23"/>
  <c r="AI238" i="23"/>
  <c r="AI284" i="23"/>
  <c r="AG171" i="23"/>
  <c r="AG240" i="23"/>
  <c r="AG287" i="23"/>
  <c r="AG249" i="23"/>
  <c r="AF272" i="16"/>
  <c r="AF224" i="16"/>
  <c r="AF172" i="16"/>
  <c r="AF108" i="16"/>
  <c r="AF44" i="16"/>
  <c r="AG51" i="23"/>
  <c r="AG124" i="23"/>
  <c r="AF238" i="16"/>
  <c r="AF190" i="16"/>
  <c r="AF128" i="16"/>
  <c r="AF62" i="16"/>
  <c r="AG32" i="23"/>
  <c r="AG76" i="23"/>
  <c r="AG95" i="23"/>
  <c r="AG152" i="23"/>
  <c r="AG302" i="23"/>
  <c r="U287" i="16"/>
  <c r="U180" i="16"/>
  <c r="U18" i="16"/>
  <c r="U7" i="3"/>
  <c r="U146" i="9"/>
  <c r="AF334" i="16"/>
  <c r="AF319" i="16"/>
  <c r="AF303" i="16"/>
  <c r="AF285" i="16"/>
  <c r="AF271" i="16"/>
  <c r="AF255" i="16"/>
  <c r="AF237" i="16"/>
  <c r="AF221" i="16"/>
  <c r="AF207" i="16"/>
  <c r="AF189" i="16"/>
  <c r="AF171" i="16"/>
  <c r="AF148" i="16"/>
  <c r="AF125" i="16"/>
  <c r="AF107" i="16"/>
  <c r="AF84" i="16"/>
  <c r="AF61" i="16"/>
  <c r="AF38" i="16"/>
  <c r="AF20" i="16"/>
  <c r="AD249" i="16"/>
  <c r="AD119" i="16"/>
  <c r="AB299" i="16"/>
  <c r="AB142" i="16"/>
  <c r="AB11" i="16"/>
  <c r="AH286" i="16"/>
  <c r="AH233" i="16"/>
  <c r="AH185" i="16"/>
  <c r="AH118" i="16"/>
  <c r="AH54" i="16"/>
  <c r="AG10" i="23"/>
  <c r="AI32" i="23"/>
  <c r="AI51" i="23"/>
  <c r="AG79" i="23"/>
  <c r="AG104" i="23"/>
  <c r="AG125" i="23"/>
  <c r="AI157" i="23"/>
  <c r="AG187" i="23"/>
  <c r="AG228" i="23"/>
  <c r="AG253" i="23"/>
  <c r="AG304" i="23"/>
  <c r="AF256" i="16"/>
  <c r="AF208" i="16"/>
  <c r="AF153" i="16"/>
  <c r="AF87" i="16"/>
  <c r="AF23" i="16"/>
  <c r="AG217" i="23"/>
  <c r="U277" i="16"/>
  <c r="U165" i="16"/>
  <c r="U15" i="16"/>
  <c r="U47" i="3"/>
  <c r="U184" i="9"/>
  <c r="AF333" i="16"/>
  <c r="AF318" i="16"/>
  <c r="AF300" i="16"/>
  <c r="AF284" i="16"/>
  <c r="AF270" i="16"/>
  <c r="AF252" i="16"/>
  <c r="AF236" i="16"/>
  <c r="AF220" i="16"/>
  <c r="AF201" i="16"/>
  <c r="AF188" i="16"/>
  <c r="AF169" i="16"/>
  <c r="AF144" i="16"/>
  <c r="AF124" i="16"/>
  <c r="AF105" i="16"/>
  <c r="AF80" i="16"/>
  <c r="AF60" i="16"/>
  <c r="AF37" i="16"/>
  <c r="AF14" i="16"/>
  <c r="AD248" i="16"/>
  <c r="AD118" i="16"/>
  <c r="AB279" i="16"/>
  <c r="AB139" i="16"/>
  <c r="AB10" i="16"/>
  <c r="AH283" i="16"/>
  <c r="AH232" i="16"/>
  <c r="AH182" i="16"/>
  <c r="AH115" i="16"/>
  <c r="AH51" i="16"/>
  <c r="U15" i="23"/>
  <c r="AG34" i="23"/>
  <c r="AE61" i="23"/>
  <c r="AI79" i="23"/>
  <c r="AG105" i="23"/>
  <c r="AG126" i="23"/>
  <c r="AG164" i="23"/>
  <c r="AC199" i="23"/>
  <c r="AG230" i="23"/>
  <c r="AG263" i="23"/>
  <c r="AI305" i="23"/>
  <c r="AG36" i="23"/>
  <c r="AG61" i="23"/>
  <c r="AG167" i="23"/>
  <c r="AG199" i="23"/>
  <c r="AG319" i="23"/>
  <c r="AG277" i="23"/>
  <c r="AG48" i="23"/>
  <c r="AG64" i="23"/>
  <c r="AG118" i="23"/>
  <c r="AG141" i="23"/>
  <c r="AG212" i="23"/>
  <c r="AF8" i="16"/>
  <c r="AG12" i="23"/>
  <c r="AG44" i="23"/>
  <c r="AE55" i="23"/>
  <c r="AG67" i="23"/>
  <c r="AG82" i="23"/>
  <c r="AI96" i="23"/>
  <c r="AG115" i="23"/>
  <c r="AI126" i="23"/>
  <c r="AG145" i="23"/>
  <c r="AI158" i="23"/>
  <c r="AI172" i="23"/>
  <c r="AG193" i="23"/>
  <c r="AG205" i="23"/>
  <c r="AI217" i="23"/>
  <c r="AI240" i="23"/>
  <c r="AC254" i="23"/>
  <c r="AG270" i="23"/>
  <c r="AG289" i="23"/>
  <c r="AG321" i="23"/>
  <c r="AF337" i="16"/>
  <c r="AF327" i="16"/>
  <c r="AF316" i="16"/>
  <c r="AF302" i="16"/>
  <c r="AF291" i="16"/>
  <c r="AF279" i="16"/>
  <c r="AF265" i="16"/>
  <c r="AF254" i="16"/>
  <c r="AF243" i="16"/>
  <c r="AF229" i="16"/>
  <c r="AF217" i="16"/>
  <c r="AF206" i="16"/>
  <c r="AF192" i="16"/>
  <c r="AF181" i="16"/>
  <c r="AF165" i="16"/>
  <c r="AF147" i="16"/>
  <c r="AF133" i="16"/>
  <c r="AF117" i="16"/>
  <c r="AF99" i="16"/>
  <c r="AF83" i="16"/>
  <c r="AF69" i="16"/>
  <c r="AF51" i="16"/>
  <c r="AF35" i="16"/>
  <c r="AF19" i="16"/>
  <c r="AD288" i="16"/>
  <c r="AD192" i="16"/>
  <c r="AD96" i="16"/>
  <c r="AB298" i="16"/>
  <c r="AB202" i="16"/>
  <c r="AB97" i="16"/>
  <c r="AH337" i="16"/>
  <c r="AH297" i="16"/>
  <c r="AH255" i="16"/>
  <c r="AH219" i="16"/>
  <c r="AH169" i="16"/>
  <c r="AH123" i="16"/>
  <c r="AH74" i="16"/>
  <c r="AH26" i="16"/>
  <c r="AG13" i="23"/>
  <c r="AI27" i="23"/>
  <c r="AI44" i="23"/>
  <c r="AG56" i="23"/>
  <c r="AG74" i="23"/>
  <c r="AG84" i="23"/>
  <c r="AG97" i="23"/>
  <c r="AG117" i="23"/>
  <c r="AG127" i="23"/>
  <c r="AI145" i="23"/>
  <c r="AG159" i="23"/>
  <c r="AG173" i="23"/>
  <c r="AI193" i="23"/>
  <c r="AI205" i="23"/>
  <c r="AG221" i="23"/>
  <c r="AG242" i="23"/>
  <c r="AG255" i="23"/>
  <c r="AG271" i="23"/>
  <c r="AI292" i="23"/>
  <c r="AI323" i="23"/>
  <c r="AF336" i="16"/>
  <c r="AF326" i="16"/>
  <c r="AF312" i="16"/>
  <c r="AF301" i="16"/>
  <c r="AF289" i="16"/>
  <c r="AF276" i="16"/>
  <c r="AF264" i="16"/>
  <c r="AF253" i="16"/>
  <c r="AF239" i="16"/>
  <c r="AF228" i="16"/>
  <c r="AF216" i="16"/>
  <c r="AF203" i="16"/>
  <c r="AF191" i="16"/>
  <c r="AF180" i="16"/>
  <c r="AF161" i="16"/>
  <c r="AF145" i="16"/>
  <c r="AF129" i="16"/>
  <c r="AF111" i="16"/>
  <c r="AF97" i="16"/>
  <c r="AF81" i="16"/>
  <c r="AF63" i="16"/>
  <c r="AF47" i="16"/>
  <c r="AF33" i="16"/>
  <c r="AF15" i="16"/>
  <c r="AD271" i="16"/>
  <c r="AD175" i="16"/>
  <c r="AD56" i="16"/>
  <c r="AB285" i="16"/>
  <c r="AB184" i="16"/>
  <c r="AB56" i="16"/>
  <c r="AH335" i="16"/>
  <c r="AH296" i="16"/>
  <c r="AH254" i="16"/>
  <c r="AH218" i="16"/>
  <c r="AH168" i="16"/>
  <c r="AH121" i="16"/>
  <c r="AH73" i="16"/>
  <c r="AH25" i="16"/>
  <c r="AG14" i="23"/>
  <c r="AG30" i="23"/>
  <c r="AG46" i="23"/>
  <c r="AI56" i="23"/>
  <c r="AG75" i="23"/>
  <c r="AG86" i="23"/>
  <c r="AG103" i="23"/>
  <c r="AI117" i="23"/>
  <c r="AG133" i="23"/>
  <c r="AI148" i="23"/>
  <c r="AI160" i="23"/>
  <c r="AI179" i="23"/>
  <c r="AI197" i="23"/>
  <c r="AI206" i="23"/>
  <c r="AG222" i="23"/>
  <c r="AI242" i="23"/>
  <c r="AG259" i="23"/>
  <c r="AG274" i="23"/>
  <c r="AI297" i="23"/>
  <c r="AG325" i="23"/>
  <c r="AG150" i="23"/>
  <c r="AG163" i="23"/>
  <c r="AG180" i="23"/>
  <c r="AG198" i="23"/>
  <c r="AG207" i="23"/>
  <c r="AG226" i="23"/>
  <c r="AG261" i="23"/>
  <c r="AG276" i="23"/>
  <c r="AG300" i="23"/>
  <c r="AG327" i="23"/>
  <c r="AG139" i="23"/>
  <c r="AG157" i="23"/>
  <c r="AG214" i="23"/>
  <c r="AG265" i="23"/>
  <c r="AG286" i="23"/>
  <c r="Z198" i="16"/>
  <c r="Z301" i="16"/>
  <c r="Z179" i="16"/>
  <c r="Z51" i="16"/>
  <c r="AA232" i="23"/>
  <c r="U321" i="16"/>
  <c r="U238" i="16"/>
  <c r="U160" i="16"/>
  <c r="U57" i="16"/>
  <c r="U27" i="2"/>
  <c r="U138" i="4"/>
  <c r="AF175" i="16"/>
  <c r="AF164" i="16"/>
  <c r="AF152" i="16"/>
  <c r="AF139" i="16"/>
  <c r="AF127" i="16"/>
  <c r="AF116" i="16"/>
  <c r="AF102" i="16"/>
  <c r="AF91" i="16"/>
  <c r="AF79" i="16"/>
  <c r="AF65" i="16"/>
  <c r="AF54" i="16"/>
  <c r="AF43" i="16"/>
  <c r="AF29" i="16"/>
  <c r="AF17" i="16"/>
  <c r="AD305" i="16"/>
  <c r="AD231" i="16"/>
  <c r="AD157" i="16"/>
  <c r="AD78" i="16"/>
  <c r="AB318" i="16"/>
  <c r="AB248" i="16"/>
  <c r="AB161" i="16"/>
  <c r="AB75" i="16"/>
  <c r="Z336" i="16"/>
  <c r="Z299" i="16"/>
  <c r="Z239" i="16"/>
  <c r="Z176" i="16"/>
  <c r="Z120" i="16"/>
  <c r="Z46" i="16"/>
  <c r="AH330" i="16"/>
  <c r="AH303" i="16"/>
  <c r="AH272" i="16"/>
  <c r="AH246" i="16"/>
  <c r="AH207" i="16"/>
  <c r="AH175" i="16"/>
  <c r="AH143" i="16"/>
  <c r="AH104" i="16"/>
  <c r="AH72" i="16"/>
  <c r="AH40" i="16"/>
  <c r="AG8" i="23"/>
  <c r="AG18" i="23"/>
  <c r="AG28" i="23"/>
  <c r="AA38" i="23"/>
  <c r="AI49" i="23"/>
  <c r="AG57" i="23"/>
  <c r="AG71" i="23"/>
  <c r="AI80" i="23"/>
  <c r="AC89" i="23"/>
  <c r="AG101" i="23"/>
  <c r="AG113" i="23"/>
  <c r="AI118" i="23"/>
  <c r="AI131" i="23"/>
  <c r="AG142" i="23"/>
  <c r="AG154" i="23"/>
  <c r="AI163" i="23"/>
  <c r="AI174" i="23"/>
  <c r="AG189" i="23"/>
  <c r="AG200" i="23"/>
  <c r="AI209" i="23"/>
  <c r="AG218" i="23"/>
  <c r="AG232" i="23"/>
  <c r="AG246" i="23"/>
  <c r="AG257" i="23"/>
  <c r="AG269" i="23"/>
  <c r="AG279" i="23"/>
  <c r="AG295" i="23"/>
  <c r="AG311" i="23"/>
  <c r="AG329" i="23"/>
  <c r="Z264" i="16"/>
  <c r="Z247" i="16"/>
  <c r="Z127" i="16"/>
  <c r="U313" i="16"/>
  <c r="U237" i="16"/>
  <c r="U140" i="16"/>
  <c r="U42" i="16"/>
  <c r="U12" i="20"/>
  <c r="U106" i="4"/>
  <c r="AF174" i="16"/>
  <c r="AF163" i="16"/>
  <c r="AF151" i="16"/>
  <c r="AF137" i="16"/>
  <c r="AF126" i="16"/>
  <c r="AF115" i="16"/>
  <c r="AF101" i="16"/>
  <c r="AF89" i="16"/>
  <c r="AF78" i="16"/>
  <c r="AF64" i="16"/>
  <c r="AF53" i="16"/>
  <c r="AF41" i="16"/>
  <c r="AF28" i="16"/>
  <c r="AF16" i="16"/>
  <c r="AD304" i="16"/>
  <c r="AD230" i="16"/>
  <c r="AD152" i="16"/>
  <c r="AD77" i="16"/>
  <c r="AB313" i="16"/>
  <c r="AB242" i="16"/>
  <c r="AB160" i="16"/>
  <c r="AB74" i="16"/>
  <c r="Z333" i="16"/>
  <c r="Z280" i="16"/>
  <c r="Z237" i="16"/>
  <c r="Z173" i="16"/>
  <c r="Z99" i="16"/>
  <c r="Z35" i="16"/>
  <c r="AH329" i="16"/>
  <c r="AH298" i="16"/>
  <c r="AH271" i="16"/>
  <c r="AH240" i="16"/>
  <c r="AH202" i="16"/>
  <c r="AH170" i="16"/>
  <c r="AH138" i="16"/>
  <c r="AH103" i="16"/>
  <c r="AH71" i="16"/>
  <c r="AH39" i="16"/>
  <c r="AI9" i="23"/>
  <c r="AG20" i="23"/>
  <c r="AG29" i="23"/>
  <c r="AG42" i="23"/>
  <c r="AG50" i="23"/>
  <c r="AI58" i="23"/>
  <c r="AI73" i="23"/>
  <c r="AG81" i="23"/>
  <c r="AG89" i="23"/>
  <c r="AG102" i="23"/>
  <c r="AI113" i="23"/>
  <c r="AG120" i="23"/>
  <c r="AE133" i="23"/>
  <c r="AG143" i="23"/>
  <c r="AI155" i="23"/>
  <c r="AE164" i="23"/>
  <c r="AG177" i="23"/>
  <c r="AG192" i="23"/>
  <c r="AI200" i="23"/>
  <c r="AG211" i="23"/>
  <c r="AI219" i="23"/>
  <c r="AG238" i="23"/>
  <c r="AG247" i="23"/>
  <c r="AG258" i="23"/>
  <c r="AI269" i="23"/>
  <c r="AG281" i="23"/>
  <c r="AG296" i="23"/>
  <c r="AG313" i="23"/>
  <c r="AA330" i="23"/>
  <c r="Z63" i="16"/>
  <c r="Z331" i="16"/>
  <c r="Z275" i="16"/>
  <c r="Z229" i="16"/>
  <c r="Z166" i="16"/>
  <c r="Z94" i="16"/>
  <c r="Z31" i="16"/>
  <c r="AG284" i="23"/>
  <c r="AG297" i="23"/>
  <c r="AG315" i="23"/>
  <c r="AG333" i="23"/>
  <c r="Z133" i="16"/>
  <c r="Z317" i="16"/>
  <c r="Z272" i="16"/>
  <c r="Z216" i="16"/>
  <c r="Z147" i="16"/>
  <c r="Z86" i="16"/>
  <c r="Z23" i="16"/>
  <c r="AA94" i="23"/>
  <c r="AC104" i="23"/>
  <c r="Z303" i="16"/>
  <c r="Z315" i="16"/>
  <c r="Z269" i="16"/>
  <c r="Z214" i="16"/>
  <c r="Z135" i="16"/>
  <c r="Z85" i="16"/>
  <c r="Z19" i="16"/>
  <c r="AC23" i="23"/>
  <c r="AC55" i="23"/>
  <c r="AA117" i="23"/>
  <c r="AC213" i="23"/>
  <c r="AC272" i="23"/>
  <c r="Z307" i="16"/>
  <c r="Z267" i="16"/>
  <c r="Z199" i="16"/>
  <c r="Z134" i="16"/>
  <c r="Z69" i="16"/>
  <c r="U337" i="16"/>
  <c r="U320" i="16"/>
  <c r="U296" i="16"/>
  <c r="U264" i="16"/>
  <c r="U236" i="16"/>
  <c r="U204" i="16"/>
  <c r="U164" i="16"/>
  <c r="U132" i="16"/>
  <c r="U104" i="16"/>
  <c r="U56" i="16"/>
  <c r="U12" i="16"/>
  <c r="U8" i="2"/>
  <c r="U25" i="20"/>
  <c r="U40" i="3"/>
  <c r="U129" i="4"/>
  <c r="U81" i="4"/>
  <c r="U57" i="5"/>
  <c r="U226" i="9"/>
  <c r="U187" i="9"/>
  <c r="Z326" i="16"/>
  <c r="Z291" i="16"/>
  <c r="Z251" i="16"/>
  <c r="Z203" i="16"/>
  <c r="Z160" i="16"/>
  <c r="Z110" i="16"/>
  <c r="Z62" i="16"/>
  <c r="Z16" i="16"/>
  <c r="AH217" i="16"/>
  <c r="AH187" i="16"/>
  <c r="AH167" i="16"/>
  <c r="AH137" i="16"/>
  <c r="AH111" i="16"/>
  <c r="AH86" i="16"/>
  <c r="AH58" i="16"/>
  <c r="AH35" i="16"/>
  <c r="AG16" i="23"/>
  <c r="AG23" i="23"/>
  <c r="AI30" i="23"/>
  <c r="AG38" i="23"/>
  <c r="U47" i="23"/>
  <c r="AI52" i="23"/>
  <c r="AG59" i="23"/>
  <c r="AG69" i="23"/>
  <c r="AG77" i="23"/>
  <c r="AG83" i="23"/>
  <c r="AG90" i="23"/>
  <c r="U99" i="23"/>
  <c r="AG108" i="23"/>
  <c r="AI115" i="23"/>
  <c r="AI120" i="23"/>
  <c r="AG129" i="23"/>
  <c r="AG137" i="23"/>
  <c r="AG147" i="23"/>
  <c r="AI154" i="23"/>
  <c r="AG161" i="23"/>
  <c r="AC171" i="23"/>
  <c r="AI177" i="23"/>
  <c r="AG185" i="23"/>
  <c r="AG194" i="23"/>
  <c r="AG201" i="23"/>
  <c r="AI207" i="23"/>
  <c r="AI214" i="23"/>
  <c r="AG223" i="23"/>
  <c r="AI234" i="23"/>
  <c r="AI243" i="23"/>
  <c r="AG251" i="23"/>
  <c r="AI259" i="23"/>
  <c r="AG267" i="23"/>
  <c r="AA273" i="23"/>
  <c r="AI282" i="23"/>
  <c r="AI289" i="23"/>
  <c r="AI298" i="23"/>
  <c r="AG306" i="23"/>
  <c r="AC322" i="23"/>
  <c r="U331" i="23"/>
  <c r="AG323" i="23"/>
  <c r="U336" i="16"/>
  <c r="U314" i="16"/>
  <c r="U288" i="16"/>
  <c r="U261" i="16"/>
  <c r="U233" i="16"/>
  <c r="U193" i="16"/>
  <c r="U161" i="16"/>
  <c r="U129" i="16"/>
  <c r="U89" i="16"/>
  <c r="U55" i="16"/>
  <c r="U11" i="16"/>
  <c r="U23" i="2"/>
  <c r="U28" i="20"/>
  <c r="U18" i="3"/>
  <c r="U41" i="4"/>
  <c r="U110" i="4"/>
  <c r="U16" i="5"/>
  <c r="U90" i="9"/>
  <c r="U191" i="9"/>
  <c r="Z319" i="16"/>
  <c r="Z287" i="16"/>
  <c r="Z248" i="16"/>
  <c r="Z200" i="16"/>
  <c r="Z152" i="16"/>
  <c r="Z102" i="16"/>
  <c r="Z61" i="16"/>
  <c r="AH315" i="16"/>
  <c r="AH287" i="16"/>
  <c r="AH265" i="16"/>
  <c r="AH239" i="16"/>
  <c r="AH214" i="16"/>
  <c r="AH186" i="16"/>
  <c r="AH158" i="16"/>
  <c r="AH135" i="16"/>
  <c r="AH105" i="16"/>
  <c r="AH83" i="16"/>
  <c r="AH57" i="16"/>
  <c r="AH27" i="16"/>
  <c r="U9" i="23"/>
  <c r="AG17" i="23"/>
  <c r="AG25" i="23"/>
  <c r="AG40" i="23"/>
  <c r="AG47" i="23"/>
  <c r="AG53" i="23"/>
  <c r="AI60" i="23"/>
  <c r="AG70" i="23"/>
  <c r="AG78" i="23"/>
  <c r="AI83" i="23"/>
  <c r="AG92" i="23"/>
  <c r="AG99" i="23"/>
  <c r="AG110" i="23"/>
  <c r="U117" i="23"/>
  <c r="AG122" i="23"/>
  <c r="AG131" i="23"/>
  <c r="AI138" i="23"/>
  <c r="AI147" i="23"/>
  <c r="AG155" i="23"/>
  <c r="AI162" i="23"/>
  <c r="AE171" i="23"/>
  <c r="AG179" i="23"/>
  <c r="AG186" i="23"/>
  <c r="AG195" i="23"/>
  <c r="AG202" i="23"/>
  <c r="AG209" i="23"/>
  <c r="AG216" i="23"/>
  <c r="U224" i="23"/>
  <c r="AG235" i="23"/>
  <c r="AG245" i="23"/>
  <c r="AI252" i="23"/>
  <c r="AI260" i="23"/>
  <c r="AE269" i="23"/>
  <c r="AI273" i="23"/>
  <c r="AI283" i="23"/>
  <c r="AG290" i="23"/>
  <c r="AG299" i="23"/>
  <c r="AG308" i="23"/>
  <c r="U323" i="23"/>
  <c r="AI331" i="23"/>
  <c r="U97" i="9"/>
  <c r="U148" i="23"/>
  <c r="U71" i="4"/>
  <c r="U28" i="4"/>
  <c r="U4" i="9"/>
  <c r="U17" i="21"/>
  <c r="U332" i="16"/>
  <c r="U308" i="16"/>
  <c r="U285" i="16"/>
  <c r="U257" i="16"/>
  <c r="U217" i="16"/>
  <c r="U185" i="16"/>
  <c r="U159" i="16"/>
  <c r="U119" i="16"/>
  <c r="U87" i="16"/>
  <c r="U41" i="16"/>
  <c r="U32" i="2"/>
  <c r="U35" i="2"/>
  <c r="U40" i="20"/>
  <c r="U92" i="4"/>
  <c r="U73" i="4"/>
  <c r="U145" i="4"/>
  <c r="U19" i="9"/>
  <c r="U98" i="9"/>
  <c r="U30" i="21"/>
  <c r="U43" i="23"/>
  <c r="AA188" i="23"/>
  <c r="AA262" i="23"/>
  <c r="U301" i="23"/>
  <c r="AI311" i="23"/>
  <c r="U330" i="16"/>
  <c r="U279" i="16"/>
  <c r="U216" i="16"/>
  <c r="U150" i="16"/>
  <c r="U40" i="16"/>
  <c r="U39" i="2"/>
  <c r="U99" i="9"/>
  <c r="U304" i="16"/>
  <c r="U254" i="16"/>
  <c r="U182" i="16"/>
  <c r="U110" i="16"/>
  <c r="U82" i="16"/>
  <c r="U60" i="2"/>
  <c r="U41" i="20"/>
  <c r="U37" i="4"/>
  <c r="U45" i="4"/>
  <c r="U118" i="4"/>
  <c r="U46" i="9"/>
  <c r="U33" i="21"/>
  <c r="U323" i="16"/>
  <c r="U303" i="16"/>
  <c r="U278" i="16"/>
  <c r="U245" i="16"/>
  <c r="U215" i="16"/>
  <c r="U181" i="16"/>
  <c r="U143" i="16"/>
  <c r="U109" i="16"/>
  <c r="U75" i="16"/>
  <c r="U31" i="16"/>
  <c r="U61" i="2"/>
  <c r="U75" i="2"/>
  <c r="U39" i="3"/>
  <c r="U61" i="4"/>
  <c r="U74" i="4"/>
  <c r="U54" i="5"/>
  <c r="U51" i="9"/>
  <c r="U114" i="9"/>
  <c r="AA182" i="23"/>
  <c r="U231" i="23"/>
  <c r="AI270" i="23"/>
  <c r="AI277" i="23"/>
  <c r="AA287" i="23"/>
  <c r="AI303" i="23"/>
  <c r="AI328" i="23"/>
  <c r="AE335" i="23"/>
  <c r="AE334" i="23"/>
  <c r="AE311" i="23"/>
  <c r="AE294" i="23"/>
  <c r="AE272" i="23"/>
  <c r="AE266" i="23"/>
  <c r="AE251" i="23"/>
  <c r="AE226" i="23"/>
  <c r="AE223" i="23"/>
  <c r="AE213" i="23"/>
  <c r="AE207" i="23"/>
  <c r="AE177" i="23"/>
  <c r="AE160" i="23"/>
  <c r="AE140" i="23"/>
  <c r="AE85" i="23"/>
  <c r="AE76" i="23"/>
  <c r="AE23" i="23"/>
  <c r="AE324" i="23"/>
  <c r="AE293" i="23"/>
  <c r="AE313" i="23"/>
  <c r="AE277" i="23"/>
  <c r="AE258" i="23"/>
  <c r="AE243" i="23"/>
  <c r="AE240" i="23"/>
  <c r="AE204" i="23"/>
  <c r="AE183" i="23"/>
  <c r="AE175" i="23"/>
  <c r="AE146" i="23"/>
  <c r="AE93" i="23"/>
  <c r="AE60" i="23"/>
  <c r="AE56" i="23"/>
  <c r="AE25" i="23"/>
  <c r="AE299" i="23"/>
  <c r="AE296" i="23"/>
  <c r="AE253" i="23"/>
  <c r="AE233" i="23"/>
  <c r="AE228" i="23"/>
  <c r="AE206" i="23"/>
  <c r="AE196" i="23"/>
  <c r="AE135" i="23"/>
  <c r="AE72" i="23"/>
  <c r="AE67" i="23"/>
  <c r="AD24" i="16"/>
  <c r="AD46" i="16"/>
  <c r="AD70" i="16"/>
  <c r="AE331" i="23"/>
  <c r="AE318" i="23"/>
  <c r="AE306" i="23"/>
  <c r="AE301" i="23"/>
  <c r="AE245" i="23"/>
  <c r="AE224" i="23"/>
  <c r="AE221" i="23"/>
  <c r="AE152" i="23"/>
  <c r="AE142" i="23"/>
  <c r="AE119" i="23"/>
  <c r="AE117" i="23"/>
  <c r="AE95" i="23"/>
  <c r="AE90" i="23"/>
  <c r="AE75" i="23"/>
  <c r="AE59" i="23"/>
  <c r="AE41" i="23"/>
  <c r="AE39" i="23"/>
  <c r="AE30" i="23"/>
  <c r="AE27" i="23"/>
  <c r="AE13" i="23"/>
  <c r="AE10" i="23"/>
  <c r="AE312" i="23"/>
  <c r="AE264" i="23"/>
  <c r="AE214" i="23"/>
  <c r="AE212" i="23"/>
  <c r="AE189" i="23"/>
  <c r="AE168" i="23"/>
  <c r="AE148" i="23"/>
  <c r="AE138" i="23"/>
  <c r="AE106" i="23"/>
  <c r="AE99" i="23"/>
  <c r="AE36" i="23"/>
  <c r="U61" i="23"/>
  <c r="U329" i="23"/>
  <c r="U300" i="23"/>
  <c r="U297" i="23"/>
  <c r="U283" i="23"/>
  <c r="AD321" i="16"/>
  <c r="AD303" i="16"/>
  <c r="AD285" i="16"/>
  <c r="AD263" i="16"/>
  <c r="AD247" i="16"/>
  <c r="AD229" i="16"/>
  <c r="AD207" i="16"/>
  <c r="AD189" i="16"/>
  <c r="AD173" i="16"/>
  <c r="AD151" i="16"/>
  <c r="AD133" i="16"/>
  <c r="AD113" i="16"/>
  <c r="AD93" i="16"/>
  <c r="AD76" i="16"/>
  <c r="AD47" i="16"/>
  <c r="AD23" i="16"/>
  <c r="AB329" i="16"/>
  <c r="AB312" i="16"/>
  <c r="AB297" i="16"/>
  <c r="AB278" i="16"/>
  <c r="AB261" i="16"/>
  <c r="AB241" i="16"/>
  <c r="AB223" i="16"/>
  <c r="AB201" i="16"/>
  <c r="AB182" i="16"/>
  <c r="AB159" i="16"/>
  <c r="AB138" i="16"/>
  <c r="AB115" i="16"/>
  <c r="AB96" i="16"/>
  <c r="AB72" i="16"/>
  <c r="AB47" i="16"/>
  <c r="AB30" i="16"/>
  <c r="AA15" i="23"/>
  <c r="U24" i="23"/>
  <c r="U29" i="23"/>
  <c r="U44" i="23"/>
  <c r="U71" i="23"/>
  <c r="AE89" i="23"/>
  <c r="AC99" i="23"/>
  <c r="U113" i="23"/>
  <c r="U121" i="23"/>
  <c r="AA144" i="23"/>
  <c r="U155" i="23"/>
  <c r="AA195" i="23"/>
  <c r="AC205" i="23"/>
  <c r="AA214" i="23"/>
  <c r="AC225" i="23"/>
  <c r="U239" i="23"/>
  <c r="AA244" i="23"/>
  <c r="AE256" i="23"/>
  <c r="AC263" i="23"/>
  <c r="AE287" i="23"/>
  <c r="AA301" i="23"/>
  <c r="AD336" i="16"/>
  <c r="AD320" i="16"/>
  <c r="AD302" i="16"/>
  <c r="AD280" i="16"/>
  <c r="AD262" i="16"/>
  <c r="AD246" i="16"/>
  <c r="AD224" i="16"/>
  <c r="AD206" i="16"/>
  <c r="AD188" i="16"/>
  <c r="AD166" i="16"/>
  <c r="AD150" i="16"/>
  <c r="AD132" i="16"/>
  <c r="AD110" i="16"/>
  <c r="AD92" i="16"/>
  <c r="AD71" i="16"/>
  <c r="AD45" i="16"/>
  <c r="AD17" i="16"/>
  <c r="AB328" i="16"/>
  <c r="AB311" i="16"/>
  <c r="AB296" i="16"/>
  <c r="AB277" i="16"/>
  <c r="AB259" i="16"/>
  <c r="AB239" i="16"/>
  <c r="AB217" i="16"/>
  <c r="AB200" i="16"/>
  <c r="AB175" i="16"/>
  <c r="AB158" i="16"/>
  <c r="AB131" i="16"/>
  <c r="AB114" i="16"/>
  <c r="AB88" i="16"/>
  <c r="AB67" i="16"/>
  <c r="AB46" i="16"/>
  <c r="AB25" i="16"/>
  <c r="AE11" i="23"/>
  <c r="AC15" i="23"/>
  <c r="AE34" i="23"/>
  <c r="U39" i="23"/>
  <c r="AC44" i="23"/>
  <c r="U52" i="23"/>
  <c r="U76" i="23"/>
  <c r="U80" i="23"/>
  <c r="U95" i="23"/>
  <c r="AE105" i="23"/>
  <c r="AE122" i="23"/>
  <c r="AE127" i="23"/>
  <c r="AA134" i="23"/>
  <c r="AA145" i="23"/>
  <c r="AE150" i="23"/>
  <c r="AC160" i="23"/>
  <c r="AE166" i="23"/>
  <c r="AA184" i="23"/>
  <c r="AE191" i="23"/>
  <c r="U211" i="23"/>
  <c r="AC214" i="23"/>
  <c r="AA245" i="23"/>
  <c r="AD335" i="16"/>
  <c r="AD317" i="16"/>
  <c r="AD301" i="16"/>
  <c r="AD279" i="16"/>
  <c r="AD261" i="16"/>
  <c r="AD241" i="16"/>
  <c r="AD221" i="16"/>
  <c r="AD205" i="16"/>
  <c r="AD185" i="16"/>
  <c r="AD165" i="16"/>
  <c r="AD145" i="16"/>
  <c r="AD129" i="16"/>
  <c r="AD109" i="16"/>
  <c r="AD89" i="16"/>
  <c r="AD65" i="16"/>
  <c r="AD39" i="16"/>
  <c r="AD14" i="16"/>
  <c r="AB323" i="16"/>
  <c r="AB310" i="16"/>
  <c r="AB290" i="16"/>
  <c r="AB275" i="16"/>
  <c r="AB253" i="16"/>
  <c r="AB235" i="16"/>
  <c r="AB216" i="16"/>
  <c r="AB195" i="16"/>
  <c r="AB174" i="16"/>
  <c r="AB153" i="16"/>
  <c r="AB130" i="16"/>
  <c r="AB110" i="16"/>
  <c r="AB87" i="16"/>
  <c r="AB66" i="16"/>
  <c r="AB43" i="16"/>
  <c r="AB24" i="16"/>
  <c r="U12" i="23"/>
  <c r="AE15" i="23"/>
  <c r="U21" i="23"/>
  <c r="AC40" i="23"/>
  <c r="U49" i="23"/>
  <c r="AC52" i="23"/>
  <c r="AC73" i="23"/>
  <c r="AA86" i="23"/>
  <c r="AA95" i="23"/>
  <c r="AE118" i="23"/>
  <c r="AC134" i="23"/>
  <c r="AC140" i="23"/>
  <c r="U173" i="23"/>
  <c r="AC184" i="23"/>
  <c r="AC192" i="23"/>
  <c r="AC201" i="23"/>
  <c r="U227" i="23"/>
  <c r="AC270" i="23"/>
  <c r="AA284" i="23"/>
  <c r="AE327" i="23"/>
  <c r="AD334" i="16"/>
  <c r="AD316" i="16"/>
  <c r="AD294" i="16"/>
  <c r="AD278" i="16"/>
  <c r="AD260" i="16"/>
  <c r="AD238" i="16"/>
  <c r="AD220" i="16"/>
  <c r="AD204" i="16"/>
  <c r="AD182" i="16"/>
  <c r="AD164" i="16"/>
  <c r="AD144" i="16"/>
  <c r="AD124" i="16"/>
  <c r="AD108" i="16"/>
  <c r="AD88" i="16"/>
  <c r="AD61" i="16"/>
  <c r="AD38" i="16"/>
  <c r="AD13" i="16"/>
  <c r="AB322" i="16"/>
  <c r="AB307" i="16"/>
  <c r="AB289" i="16"/>
  <c r="AB271" i="16"/>
  <c r="AB251" i="16"/>
  <c r="AB234" i="16"/>
  <c r="AB215" i="16"/>
  <c r="AB194" i="16"/>
  <c r="AB171" i="16"/>
  <c r="AB152" i="16"/>
  <c r="AB128" i="16"/>
  <c r="AB105" i="16"/>
  <c r="AB86" i="16"/>
  <c r="AB63" i="16"/>
  <c r="AB42" i="16"/>
  <c r="AB19" i="16"/>
  <c r="Z13" i="16"/>
  <c r="AE21" i="23"/>
  <c r="AC35" i="23"/>
  <c r="AE49" i="23"/>
  <c r="AC58" i="23"/>
  <c r="AA77" i="23"/>
  <c r="AC86" i="23"/>
  <c r="AE91" i="23"/>
  <c r="AC102" i="23"/>
  <c r="U141" i="23"/>
  <c r="U168" i="23"/>
  <c r="AA198" i="23"/>
  <c r="AA212" i="23"/>
  <c r="AC220" i="23"/>
  <c r="AC236" i="23"/>
  <c r="AA241" i="23"/>
  <c r="U252" i="23"/>
  <c r="AC284" i="23"/>
  <c r="U316" i="23"/>
  <c r="AE336" i="23"/>
  <c r="AD333" i="16"/>
  <c r="AD313" i="16"/>
  <c r="AD293" i="16"/>
  <c r="AD273" i="16"/>
  <c r="AD257" i="16"/>
  <c r="AD237" i="16"/>
  <c r="AD217" i="16"/>
  <c r="AD199" i="16"/>
  <c r="AD177" i="16"/>
  <c r="AD161" i="16"/>
  <c r="AD143" i="16"/>
  <c r="AD121" i="16"/>
  <c r="AD103" i="16"/>
  <c r="AD87" i="16"/>
  <c r="AD60" i="16"/>
  <c r="AD37" i="16"/>
  <c r="AB7" i="16"/>
  <c r="AB321" i="16"/>
  <c r="AB306" i="16"/>
  <c r="AB287" i="16"/>
  <c r="AB267" i="16"/>
  <c r="AB250" i="16"/>
  <c r="AB231" i="16"/>
  <c r="AB214" i="16"/>
  <c r="AB191" i="16"/>
  <c r="AB170" i="16"/>
  <c r="AB146" i="16"/>
  <c r="AB127" i="16"/>
  <c r="AB104" i="16"/>
  <c r="AB83" i="16"/>
  <c r="AB62" i="16"/>
  <c r="AB41" i="16"/>
  <c r="AB18" i="16"/>
  <c r="Z223" i="16"/>
  <c r="Z189" i="16"/>
  <c r="Z151" i="16"/>
  <c r="Z112" i="16"/>
  <c r="Z83" i="16"/>
  <c r="Z45" i="16"/>
  <c r="Z8" i="16"/>
  <c r="U8" i="23"/>
  <c r="U13" i="23"/>
  <c r="AC17" i="23"/>
  <c r="U27" i="23"/>
  <c r="U31" i="23"/>
  <c r="U36" i="23"/>
  <c r="U41" i="23"/>
  <c r="AE46" i="23"/>
  <c r="AA65" i="23"/>
  <c r="AA74" i="23"/>
  <c r="AC92" i="23"/>
  <c r="AE102" i="23"/>
  <c r="U109" i="23"/>
  <c r="AA130" i="23"/>
  <c r="AA141" i="23"/>
  <c r="AE147" i="23"/>
  <c r="U151" i="23"/>
  <c r="AC168" i="23"/>
  <c r="AC174" i="23"/>
  <c r="AE202" i="23"/>
  <c r="AA207" i="23"/>
  <c r="AC212" i="23"/>
  <c r="AE215" i="23"/>
  <c r="U229" i="23"/>
  <c r="AE236" i="23"/>
  <c r="AE241" i="23"/>
  <c r="AC266" i="23"/>
  <c r="U320" i="23"/>
  <c r="AD332" i="16"/>
  <c r="AD310" i="16"/>
  <c r="AD292" i="16"/>
  <c r="AD272" i="16"/>
  <c r="AD252" i="16"/>
  <c r="AD236" i="16"/>
  <c r="AD216" i="16"/>
  <c r="AD196" i="16"/>
  <c r="AD176" i="16"/>
  <c r="AD160" i="16"/>
  <c r="AD140" i="16"/>
  <c r="AD120" i="16"/>
  <c r="AD102" i="16"/>
  <c r="AD79" i="16"/>
  <c r="AD57" i="16"/>
  <c r="AD29" i="16"/>
  <c r="AB335" i="16"/>
  <c r="AB320" i="16"/>
  <c r="AB302" i="16"/>
  <c r="AB286" i="16"/>
  <c r="AB266" i="16"/>
  <c r="AB249" i="16"/>
  <c r="AB230" i="16"/>
  <c r="AB211" i="16"/>
  <c r="AB190" i="16"/>
  <c r="AB168" i="16"/>
  <c r="AB143" i="16"/>
  <c r="AB126" i="16"/>
  <c r="AB99" i="16"/>
  <c r="AB82" i="16"/>
  <c r="AB57" i="16"/>
  <c r="AB40" i="16"/>
  <c r="AB14" i="16"/>
  <c r="Z318" i="16"/>
  <c r="Z288" i="16"/>
  <c r="Z255" i="16"/>
  <c r="Z222" i="16"/>
  <c r="Z183" i="16"/>
  <c r="Z150" i="16"/>
  <c r="Z111" i="16"/>
  <c r="Z77" i="16"/>
  <c r="Z43" i="16"/>
  <c r="AE17" i="23"/>
  <c r="AC31" i="23"/>
  <c r="AA41" i="23"/>
  <c r="U55" i="23"/>
  <c r="AE74" i="23"/>
  <c r="AE82" i="23"/>
  <c r="AA97" i="23"/>
  <c r="U119" i="23"/>
  <c r="AE125" i="23"/>
  <c r="AA136" i="23"/>
  <c r="AA158" i="23"/>
  <c r="AE181" i="23"/>
  <c r="U199" i="23"/>
  <c r="AE238" i="23"/>
  <c r="AE247" i="23"/>
  <c r="AE279" i="23"/>
  <c r="AE291" i="23"/>
  <c r="AA337" i="23"/>
  <c r="AE28" i="23"/>
  <c r="AE79" i="23"/>
  <c r="AE158" i="23"/>
  <c r="AE194" i="23"/>
  <c r="AC335" i="23"/>
  <c r="AC315" i="23"/>
  <c r="AC303" i="23"/>
  <c r="AC297" i="23"/>
  <c r="AC247" i="23"/>
  <c r="AC187" i="23"/>
  <c r="AC125" i="23"/>
  <c r="AC122" i="23"/>
  <c r="AC116" i="23"/>
  <c r="AC110" i="23"/>
  <c r="AC82" i="23"/>
  <c r="AC70" i="23"/>
  <c r="AC64" i="23"/>
  <c r="AC43" i="23"/>
  <c r="AC38" i="23"/>
  <c r="AC334" i="23"/>
  <c r="AC321" i="23"/>
  <c r="AC286" i="23"/>
  <c r="AC324" i="23"/>
  <c r="AC308" i="23"/>
  <c r="AC289" i="23"/>
  <c r="AC285" i="23"/>
  <c r="AC269" i="23"/>
  <c r="AC250" i="23"/>
  <c r="AC238" i="23"/>
  <c r="AC222" i="23"/>
  <c r="AC218" i="23"/>
  <c r="AC215" i="23"/>
  <c r="AC190" i="23"/>
  <c r="AC166" i="23"/>
  <c r="AC163" i="23"/>
  <c r="AC157" i="23"/>
  <c r="AC91" i="23"/>
  <c r="AC46" i="23"/>
  <c r="AC28" i="23"/>
  <c r="AC7" i="23"/>
  <c r="AC288" i="23"/>
  <c r="AC277" i="23"/>
  <c r="AC240" i="23"/>
  <c r="AC237" i="23"/>
  <c r="AC204" i="23"/>
  <c r="AC183" i="23"/>
  <c r="AC175" i="23"/>
  <c r="AC172" i="23"/>
  <c r="AC169" i="23"/>
  <c r="AC156" i="23"/>
  <c r="AC146" i="23"/>
  <c r="AC111" i="23"/>
  <c r="AC93" i="23"/>
  <c r="AC56" i="23"/>
  <c r="AC25" i="23"/>
  <c r="AB15" i="16"/>
  <c r="AB33" i="16"/>
  <c r="AB55" i="16"/>
  <c r="AB73" i="16"/>
  <c r="AB89" i="16"/>
  <c r="AB111" i="16"/>
  <c r="AB129" i="16"/>
  <c r="AB147" i="16"/>
  <c r="AB169" i="16"/>
  <c r="AB185" i="16"/>
  <c r="AB203" i="16"/>
  <c r="AB224" i="16"/>
  <c r="AB240" i="16"/>
  <c r="AB254" i="16"/>
  <c r="AB272" i="16"/>
  <c r="AB288" i="16"/>
  <c r="AB303" i="16"/>
  <c r="AB319" i="16"/>
  <c r="AB331" i="16"/>
  <c r="AC281" i="23"/>
  <c r="AC260" i="23"/>
  <c r="AC239" i="23"/>
  <c r="AC227" i="23"/>
  <c r="AC206" i="23"/>
  <c r="AC196" i="23"/>
  <c r="AC179" i="23"/>
  <c r="AC165" i="23"/>
  <c r="AC159" i="23"/>
  <c r="AC123" i="23"/>
  <c r="AC80" i="23"/>
  <c r="AC67" i="23"/>
  <c r="AC62" i="23"/>
  <c r="AC50" i="23"/>
  <c r="AC47" i="23"/>
  <c r="AC19" i="23"/>
  <c r="AC16" i="23"/>
  <c r="AC331" i="23"/>
  <c r="AC323" i="23"/>
  <c r="AC301" i="23"/>
  <c r="AC292" i="23"/>
  <c r="AC252" i="23"/>
  <c r="AC245" i="23"/>
  <c r="AC242" i="23"/>
  <c r="AC224" i="23"/>
  <c r="AC178" i="23"/>
  <c r="AC126" i="23"/>
  <c r="AC119" i="23"/>
  <c r="AC117" i="23"/>
  <c r="AC114" i="23"/>
  <c r="AC95" i="23"/>
  <c r="AC77" i="23"/>
  <c r="AC71" i="23"/>
  <c r="AC41" i="23"/>
  <c r="AC39" i="23"/>
  <c r="AC30" i="23"/>
  <c r="AC22" i="23"/>
  <c r="AC13" i="23"/>
  <c r="AA259" i="23"/>
  <c r="AA216" i="23"/>
  <c r="AA205" i="23"/>
  <c r="AA113" i="23"/>
  <c r="AA102" i="23"/>
  <c r="AA92" i="23"/>
  <c r="AA55" i="23"/>
  <c r="AA49" i="23"/>
  <c r="AA31" i="23"/>
  <c r="AA303" i="23"/>
  <c r="AA170" i="23"/>
  <c r="AA150" i="23"/>
  <c r="AA127" i="23"/>
  <c r="AA124" i="23"/>
  <c r="AA73" i="23"/>
  <c r="AA40" i="23"/>
  <c r="AA34" i="23"/>
  <c r="AA23" i="23"/>
  <c r="AA20" i="23"/>
  <c r="Z24" i="16"/>
  <c r="Z47" i="16"/>
  <c r="Z70" i="16"/>
  <c r="Z95" i="16"/>
  <c r="Z115" i="16"/>
  <c r="Z136" i="16"/>
  <c r="Z163" i="16"/>
  <c r="Z184" i="16"/>
  <c r="Z205" i="16"/>
  <c r="Z230" i="16"/>
  <c r="Z253" i="16"/>
  <c r="AA53" i="23"/>
  <c r="AA45" i="23"/>
  <c r="AA42" i="23"/>
  <c r="AA33" i="23"/>
  <c r="AA7" i="23"/>
  <c r="Z30" i="16"/>
  <c r="Z48" i="16"/>
  <c r="Z75" i="16"/>
  <c r="Z96" i="16"/>
  <c r="Z119" i="16"/>
  <c r="Z144" i="16"/>
  <c r="Z165" i="16"/>
  <c r="Z187" i="16"/>
  <c r="Z213" i="16"/>
  <c r="Z235" i="16"/>
  <c r="Z254" i="16"/>
  <c r="Z279" i="16"/>
  <c r="Z302" i="16"/>
  <c r="Z325" i="16"/>
  <c r="AA111" i="23"/>
  <c r="AA87" i="23"/>
  <c r="AA56" i="23"/>
  <c r="AA152" i="23"/>
  <c r="AA80" i="23"/>
  <c r="AA62" i="23"/>
  <c r="AA47" i="23"/>
  <c r="AA27" i="23"/>
  <c r="AA24" i="23"/>
  <c r="AA10" i="23"/>
  <c r="Z11" i="16"/>
  <c r="Z32" i="16"/>
  <c r="Z59" i="16"/>
  <c r="Z80" i="16"/>
  <c r="Z101" i="16"/>
  <c r="Z126" i="16"/>
  <c r="Z149" i="16"/>
  <c r="Z171" i="16"/>
  <c r="Z197" i="16"/>
  <c r="Z215" i="16"/>
  <c r="Z238" i="16"/>
  <c r="Z263" i="16"/>
  <c r="Z286" i="16"/>
  <c r="Z304" i="16"/>
  <c r="U16" i="23"/>
  <c r="U56" i="23"/>
  <c r="U67" i="23"/>
  <c r="U83" i="23"/>
  <c r="U111" i="23"/>
  <c r="U123" i="23"/>
  <c r="U131" i="23"/>
  <c r="U165" i="23"/>
  <c r="U175" i="23"/>
  <c r="U185" i="23"/>
  <c r="U193" i="23"/>
  <c r="U196" i="23"/>
  <c r="U208" i="23"/>
  <c r="U217" i="23"/>
  <c r="U221" i="23"/>
  <c r="AA227" i="23"/>
  <c r="U237" i="23"/>
  <c r="AA239" i="23"/>
  <c r="U257" i="23"/>
  <c r="U260" i="23"/>
  <c r="U268" i="23"/>
  <c r="U280" i="23"/>
  <c r="U296" i="23"/>
  <c r="AA298" i="23"/>
  <c r="AA316" i="23"/>
  <c r="AG336" i="23"/>
  <c r="U315" i="23"/>
  <c r="U7" i="23"/>
  <c r="U25" i="23"/>
  <c r="U53" i="23"/>
  <c r="U93" i="23"/>
  <c r="U103" i="23"/>
  <c r="U107" i="23"/>
  <c r="U135" i="23"/>
  <c r="U156" i="23"/>
  <c r="U163" i="23"/>
  <c r="AA169" i="23"/>
  <c r="U172" i="23"/>
  <c r="AA175" i="23"/>
  <c r="U183" i="23"/>
  <c r="AA193" i="23"/>
  <c r="U204" i="23"/>
  <c r="AA209" i="23"/>
  <c r="U233" i="23"/>
  <c r="AA237" i="23"/>
  <c r="U249" i="23"/>
  <c r="AA257" i="23"/>
  <c r="U269" i="23"/>
  <c r="U288" i="23"/>
  <c r="AG292" i="23"/>
  <c r="AA296" i="23"/>
  <c r="AG312" i="23"/>
  <c r="U328" i="23"/>
  <c r="AA333" i="23"/>
  <c r="U20" i="23"/>
  <c r="U23" i="23"/>
  <c r="U40" i="23"/>
  <c r="U100" i="23"/>
  <c r="U108" i="23"/>
  <c r="U115" i="23"/>
  <c r="AA149" i="23"/>
  <c r="AA163" i="23"/>
  <c r="AA166" i="23"/>
  <c r="AA190" i="23"/>
  <c r="U225" i="23"/>
  <c r="U265" i="23"/>
  <c r="AA269" i="23"/>
  <c r="AA271" i="23"/>
  <c r="U285" i="23"/>
  <c r="U313" i="23"/>
  <c r="AG328" i="23"/>
  <c r="U337" i="23"/>
  <c r="AC326" i="23"/>
  <c r="U11" i="23"/>
  <c r="U17" i="23"/>
  <c r="U37" i="23"/>
  <c r="U51" i="23"/>
  <c r="U63" i="23"/>
  <c r="U79" i="23"/>
  <c r="U84" i="23"/>
  <c r="U88" i="23"/>
  <c r="U101" i="23"/>
  <c r="U104" i="23"/>
  <c r="U132" i="23"/>
  <c r="U140" i="23"/>
  <c r="U143" i="23"/>
  <c r="U153" i="23"/>
  <c r="U160" i="23"/>
  <c r="U187" i="23"/>
  <c r="U201" i="23"/>
  <c r="U213" i="23"/>
  <c r="AA225" i="23"/>
  <c r="AA234" i="23"/>
  <c r="U293" i="23"/>
  <c r="U303" i="23"/>
  <c r="AE317" i="23"/>
  <c r="U334" i="23"/>
  <c r="AE319" i="23"/>
  <c r="U89" i="23"/>
  <c r="U137" i="23"/>
  <c r="U144" i="23"/>
  <c r="U171" i="23"/>
  <c r="U184" i="23"/>
  <c r="U192" i="23"/>
  <c r="U219" i="23"/>
  <c r="U244" i="23"/>
  <c r="U255" i="23"/>
  <c r="U263" i="23"/>
  <c r="U325" i="23"/>
  <c r="AC336" i="23"/>
  <c r="AI316" i="23"/>
  <c r="AH327" i="16"/>
  <c r="AH295" i="16"/>
  <c r="AH262" i="16"/>
  <c r="AH230" i="16"/>
  <c r="AH198" i="16"/>
  <c r="AH163" i="16"/>
  <c r="AH146" i="16"/>
  <c r="AH114" i="16"/>
  <c r="AH82" i="16"/>
  <c r="AH49" i="16"/>
  <c r="AH17" i="16"/>
  <c r="AI34" i="23"/>
  <c r="AI47" i="23"/>
  <c r="AI88" i="23"/>
  <c r="AI122" i="23"/>
  <c r="AI135" i="23"/>
  <c r="AI168" i="23"/>
  <c r="AI187" i="23"/>
  <c r="AI204" i="23"/>
  <c r="AI232" i="23"/>
  <c r="AI254" i="23"/>
  <c r="AI261" i="23"/>
  <c r="AI279" i="23"/>
  <c r="AI321" i="23"/>
  <c r="AH326" i="16"/>
  <c r="AH307" i="16"/>
  <c r="AH291" i="16"/>
  <c r="AH274" i="16"/>
  <c r="AH259" i="16"/>
  <c r="AH242" i="16"/>
  <c r="AH227" i="16"/>
  <c r="AH210" i="16"/>
  <c r="AH195" i="16"/>
  <c r="AH177" i="16"/>
  <c r="AH160" i="16"/>
  <c r="AH145" i="16"/>
  <c r="AH128" i="16"/>
  <c r="AH113" i="16"/>
  <c r="AH96" i="16"/>
  <c r="AH81" i="16"/>
  <c r="AH63" i="16"/>
  <c r="AH48" i="16"/>
  <c r="AH31" i="16"/>
  <c r="AH16" i="16"/>
  <c r="AI11" i="23"/>
  <c r="AI14" i="23"/>
  <c r="AI16" i="23"/>
  <c r="AI22" i="23"/>
  <c r="AI24" i="23"/>
  <c r="AI29" i="23"/>
  <c r="AI74" i="23"/>
  <c r="AI82" i="23"/>
  <c r="AI108" i="23"/>
  <c r="AI114" i="23"/>
  <c r="AI125" i="23"/>
  <c r="AI133" i="23"/>
  <c r="AI241" i="23"/>
  <c r="AI290" i="23"/>
  <c r="AI294" i="23"/>
  <c r="AI299" i="23"/>
  <c r="AI322" i="23"/>
  <c r="AI329" i="23"/>
  <c r="AI337" i="23"/>
  <c r="AH310" i="16"/>
  <c r="AH275" i="16"/>
  <c r="AH243" i="16"/>
  <c r="AH211" i="16"/>
  <c r="AH179" i="16"/>
  <c r="AH131" i="16"/>
  <c r="AH99" i="16"/>
  <c r="AH67" i="16"/>
  <c r="AH32" i="16"/>
  <c r="AI42" i="23"/>
  <c r="AI85" i="23"/>
  <c r="AI127" i="23"/>
  <c r="AI152" i="23"/>
  <c r="AI194" i="23"/>
  <c r="AI227" i="23"/>
  <c r="AI236" i="23"/>
  <c r="AI274" i="23"/>
  <c r="AI296" i="23"/>
  <c r="AI301" i="23"/>
  <c r="AI333" i="23"/>
  <c r="AH8" i="16"/>
  <c r="AH323" i="16"/>
  <c r="AH305" i="16"/>
  <c r="AH288" i="16"/>
  <c r="AH273" i="16"/>
  <c r="AH256" i="16"/>
  <c r="AH241" i="16"/>
  <c r="AH224" i="16"/>
  <c r="AH209" i="16"/>
  <c r="AH191" i="16"/>
  <c r="AH176" i="16"/>
  <c r="AH159" i="16"/>
  <c r="AH144" i="16"/>
  <c r="AH127" i="16"/>
  <c r="AH112" i="16"/>
  <c r="AH95" i="16"/>
  <c r="AH79" i="16"/>
  <c r="AH62" i="16"/>
  <c r="AH47" i="16"/>
  <c r="AH30" i="16"/>
  <c r="AH15" i="16"/>
  <c r="AI38" i="23"/>
  <c r="AI54" i="23"/>
  <c r="AI59" i="23"/>
  <c r="AI97" i="23"/>
  <c r="AI112" i="23"/>
  <c r="AI153" i="23"/>
  <c r="AI185" i="23"/>
  <c r="AI211" i="23"/>
  <c r="AI218" i="23"/>
  <c r="AI247" i="23"/>
  <c r="AI262" i="23"/>
  <c r="AI271" i="23"/>
  <c r="AI280" i="23"/>
  <c r="AI307" i="23"/>
  <c r="AI312" i="23"/>
  <c r="AD326" i="16"/>
  <c r="AD312" i="16"/>
  <c r="AD300" i="16"/>
  <c r="AD284" i="16"/>
  <c r="AD270" i="16"/>
  <c r="AD256" i="16"/>
  <c r="AD240" i="16"/>
  <c r="AD228" i="16"/>
  <c r="AD214" i="16"/>
  <c r="AD198" i="16"/>
  <c r="AD184" i="16"/>
  <c r="AD172" i="16"/>
  <c r="AD156" i="16"/>
  <c r="AD142" i="16"/>
  <c r="AD128" i="16"/>
  <c r="AD112" i="16"/>
  <c r="AD100" i="16"/>
  <c r="AD81" i="16"/>
  <c r="AD69" i="16"/>
  <c r="AD49" i="16"/>
  <c r="AD36" i="16"/>
  <c r="AD16" i="16"/>
  <c r="AE19" i="23"/>
  <c r="AE63" i="23"/>
  <c r="AE80" i="23"/>
  <c r="AE97" i="23"/>
  <c r="AE108" i="23"/>
  <c r="AE116" i="23"/>
  <c r="AE121" i="23"/>
  <c r="AE131" i="23"/>
  <c r="AE185" i="23"/>
  <c r="AE198" i="23"/>
  <c r="AE217" i="23"/>
  <c r="AE237" i="23"/>
  <c r="AE239" i="23"/>
  <c r="AE283" i="23"/>
  <c r="AE285" i="23"/>
  <c r="AE322" i="23"/>
  <c r="AE329" i="23"/>
  <c r="AD337" i="16"/>
  <c r="AD325" i="16"/>
  <c r="AD311" i="16"/>
  <c r="AD295" i="16"/>
  <c r="AD281" i="16"/>
  <c r="AD269" i="16"/>
  <c r="AD253" i="16"/>
  <c r="AD239" i="16"/>
  <c r="AD225" i="16"/>
  <c r="AD209" i="16"/>
  <c r="AD197" i="16"/>
  <c r="AD183" i="16"/>
  <c r="AD167" i="16"/>
  <c r="AD153" i="16"/>
  <c r="AD141" i="16"/>
  <c r="AD125" i="16"/>
  <c r="AD111" i="16"/>
  <c r="AD97" i="16"/>
  <c r="AD80" i="16"/>
  <c r="AD68" i="16"/>
  <c r="AD48" i="16"/>
  <c r="AD33" i="16"/>
  <c r="AD15" i="16"/>
  <c r="AE9" i="23"/>
  <c r="AE24" i="23"/>
  <c r="AE45" i="23"/>
  <c r="AE47" i="23"/>
  <c r="AE52" i="23"/>
  <c r="AE83" i="23"/>
  <c r="AE114" i="23"/>
  <c r="AE144" i="23"/>
  <c r="AE154" i="23"/>
  <c r="AE210" i="23"/>
  <c r="AE231" i="23"/>
  <c r="AE242" i="23"/>
  <c r="AE255" i="23"/>
  <c r="AE271" i="23"/>
  <c r="AE289" i="23"/>
  <c r="AE303" i="23"/>
  <c r="AE308" i="23"/>
  <c r="AC268" i="23"/>
  <c r="AB337" i="16"/>
  <c r="AB327" i="16"/>
  <c r="AB315" i="16"/>
  <c r="AB305" i="16"/>
  <c r="AB295" i="16"/>
  <c r="AB281" i="16"/>
  <c r="AB270" i="16"/>
  <c r="AB258" i="16"/>
  <c r="AB245" i="16"/>
  <c r="AB233" i="16"/>
  <c r="AB222" i="16"/>
  <c r="AB207" i="16"/>
  <c r="AB193" i="16"/>
  <c r="AB179" i="16"/>
  <c r="AB163" i="16"/>
  <c r="AB151" i="16"/>
  <c r="AB137" i="16"/>
  <c r="AB121" i="16"/>
  <c r="AB107" i="16"/>
  <c r="AB95" i="16"/>
  <c r="AB79" i="16"/>
  <c r="AB65" i="16"/>
  <c r="AB51" i="16"/>
  <c r="AB35" i="16"/>
  <c r="AB23" i="16"/>
  <c r="AB9" i="16"/>
  <c r="AC9" i="23"/>
  <c r="AC34" i="23"/>
  <c r="AC51" i="23"/>
  <c r="AC76" i="23"/>
  <c r="AC79" i="23"/>
  <c r="AC107" i="23"/>
  <c r="AC113" i="23"/>
  <c r="AC115" i="23"/>
  <c r="AC147" i="23"/>
  <c r="AC155" i="23"/>
  <c r="AC180" i="23"/>
  <c r="AC189" i="23"/>
  <c r="AC219" i="23"/>
  <c r="AC249" i="23"/>
  <c r="AC256" i="23"/>
  <c r="AC259" i="23"/>
  <c r="AC265" i="23"/>
  <c r="AC279" i="23"/>
  <c r="AC282" i="23"/>
  <c r="AC311" i="23"/>
  <c r="AC318" i="23"/>
  <c r="AC329" i="23"/>
  <c r="AB336" i="16"/>
  <c r="AB326" i="16"/>
  <c r="AB314" i="16"/>
  <c r="AB304" i="16"/>
  <c r="AB294" i="16"/>
  <c r="AB280" i="16"/>
  <c r="AB269" i="16"/>
  <c r="AB257" i="16"/>
  <c r="AB243" i="16"/>
  <c r="AB232" i="16"/>
  <c r="AB221" i="16"/>
  <c r="AB206" i="16"/>
  <c r="AB192" i="16"/>
  <c r="AB178" i="16"/>
  <c r="AB162" i="16"/>
  <c r="AB150" i="16"/>
  <c r="AB136" i="16"/>
  <c r="AB120" i="16"/>
  <c r="AB106" i="16"/>
  <c r="AB94" i="16"/>
  <c r="AB78" i="16"/>
  <c r="AB64" i="16"/>
  <c r="AB50" i="16"/>
  <c r="AB34" i="16"/>
  <c r="AB22" i="16"/>
  <c r="AB8" i="16"/>
  <c r="AC29" i="23"/>
  <c r="AC49" i="23"/>
  <c r="AC53" i="23"/>
  <c r="AC81" i="23"/>
  <c r="AC83" i="23"/>
  <c r="AC129" i="23"/>
  <c r="AC132" i="23"/>
  <c r="AC135" i="23"/>
  <c r="AC141" i="23"/>
  <c r="AC144" i="23"/>
  <c r="AC150" i="23"/>
  <c r="AC158" i="23"/>
  <c r="AC207" i="23"/>
  <c r="AC210" i="23"/>
  <c r="AC230" i="23"/>
  <c r="AC233" i="23"/>
  <c r="AC295" i="23"/>
  <c r="AC306" i="23"/>
  <c r="AA315" i="23"/>
  <c r="AA326" i="23"/>
  <c r="AA85" i="23"/>
  <c r="AA99" i="23"/>
  <c r="AA105" i="23"/>
  <c r="AA116" i="23"/>
  <c r="AA120" i="23"/>
  <c r="AA148" i="23"/>
  <c r="AA223" i="23"/>
  <c r="AA294" i="23"/>
  <c r="AA308" i="23"/>
  <c r="AA312" i="23"/>
  <c r="AA319" i="23"/>
  <c r="AA290" i="23"/>
  <c r="Z328" i="16"/>
  <c r="Z312" i="16"/>
  <c r="Z294" i="16"/>
  <c r="Z278" i="16"/>
  <c r="Z262" i="16"/>
  <c r="Z243" i="16"/>
  <c r="Z227" i="16"/>
  <c r="Z211" i="16"/>
  <c r="Z191" i="16"/>
  <c r="Z175" i="16"/>
  <c r="Z159" i="16"/>
  <c r="Z141" i="16"/>
  <c r="Z125" i="16"/>
  <c r="Z109" i="16"/>
  <c r="Z88" i="16"/>
  <c r="Z72" i="16"/>
  <c r="Z56" i="16"/>
  <c r="Z38" i="16"/>
  <c r="Z22" i="16"/>
  <c r="AA16" i="23"/>
  <c r="AA21" i="23"/>
  <c r="AA35" i="23"/>
  <c r="AA81" i="23"/>
  <c r="AA88" i="23"/>
  <c r="AA118" i="23"/>
  <c r="AA137" i="23"/>
  <c r="AA156" i="23"/>
  <c r="AA162" i="23"/>
  <c r="AA168" i="23"/>
  <c r="AA173" i="23"/>
  <c r="AA191" i="23"/>
  <c r="AA200" i="23"/>
  <c r="AA220" i="23"/>
  <c r="AA226" i="23"/>
  <c r="AA252" i="23"/>
  <c r="AA255" i="23"/>
  <c r="AA258" i="23"/>
  <c r="AA291" i="23"/>
  <c r="AA323" i="23"/>
  <c r="Z327" i="16"/>
  <c r="Z311" i="16"/>
  <c r="Z293" i="16"/>
  <c r="Z277" i="16"/>
  <c r="Z261" i="16"/>
  <c r="Z240" i="16"/>
  <c r="Z224" i="16"/>
  <c r="Z208" i="16"/>
  <c r="Z190" i="16"/>
  <c r="Z174" i="16"/>
  <c r="Z158" i="16"/>
  <c r="Z139" i="16"/>
  <c r="Z123" i="16"/>
  <c r="Z107" i="16"/>
  <c r="Z87" i="16"/>
  <c r="Z71" i="16"/>
  <c r="Z55" i="16"/>
  <c r="Z37" i="16"/>
  <c r="Z21" i="16"/>
  <c r="AA9" i="23"/>
  <c r="AA60" i="23"/>
  <c r="AA67" i="23"/>
  <c r="AA123" i="23"/>
  <c r="AA129" i="23"/>
  <c r="AA151" i="23"/>
  <c r="AA176" i="23"/>
  <c r="AA180" i="23"/>
  <c r="AA183" i="23"/>
  <c r="AA213" i="23"/>
  <c r="AA264" i="23"/>
  <c r="AA277" i="23"/>
  <c r="AA289" i="23"/>
  <c r="AA305" i="23"/>
  <c r="U191" i="23"/>
  <c r="U215" i="23"/>
  <c r="U223" i="23"/>
  <c r="U281" i="23"/>
  <c r="U284" i="23"/>
  <c r="U291" i="23"/>
  <c r="U335" i="23"/>
  <c r="U327" i="16"/>
  <c r="U312" i="16"/>
  <c r="U293" i="16"/>
  <c r="U276" i="16"/>
  <c r="U249" i="16"/>
  <c r="U223" i="16"/>
  <c r="U201" i="16"/>
  <c r="U175" i="16"/>
  <c r="U149" i="16"/>
  <c r="U121" i="16"/>
  <c r="U101" i="16"/>
  <c r="U67" i="16"/>
  <c r="U33" i="16"/>
  <c r="U30" i="2"/>
  <c r="U69" i="2"/>
  <c r="U41" i="2"/>
  <c r="U44" i="20"/>
  <c r="U55" i="3"/>
  <c r="U12" i="4"/>
  <c r="U76" i="4"/>
  <c r="U90" i="4"/>
  <c r="U11" i="9"/>
  <c r="U239" i="9"/>
  <c r="U154" i="9"/>
  <c r="U38" i="21"/>
  <c r="U35" i="23"/>
  <c r="U45" i="23"/>
  <c r="U59" i="23"/>
  <c r="U64" i="23"/>
  <c r="U73" i="23"/>
  <c r="U75" i="23"/>
  <c r="U77" i="23"/>
  <c r="U91" i="23"/>
  <c r="U105" i="23"/>
  <c r="U133" i="23"/>
  <c r="U147" i="23"/>
  <c r="U164" i="23"/>
  <c r="U167" i="23"/>
  <c r="U205" i="23"/>
  <c r="U207" i="23"/>
  <c r="U212" i="23"/>
  <c r="U236" i="23"/>
  <c r="U240" i="23"/>
  <c r="U245" i="23"/>
  <c r="U253" i="23"/>
  <c r="U267" i="23"/>
  <c r="U275" i="23"/>
  <c r="U279" i="23"/>
  <c r="U308" i="23"/>
  <c r="U317" i="23"/>
  <c r="U327" i="23"/>
  <c r="U332" i="23"/>
  <c r="U188" i="23"/>
  <c r="U209" i="23"/>
  <c r="U220" i="23"/>
  <c r="U247" i="23"/>
  <c r="U289" i="23"/>
  <c r="U321" i="23"/>
  <c r="U324" i="16"/>
  <c r="U311" i="16"/>
  <c r="U289" i="16"/>
  <c r="U275" i="16"/>
  <c r="U246" i="16"/>
  <c r="U222" i="16"/>
  <c r="U196" i="16"/>
  <c r="U168" i="16"/>
  <c r="U148" i="16"/>
  <c r="U120" i="16"/>
  <c r="U94" i="16"/>
  <c r="U60" i="16"/>
  <c r="U32" i="16"/>
  <c r="U5" i="2"/>
  <c r="U70" i="2"/>
  <c r="U9" i="20"/>
  <c r="U23" i="3"/>
  <c r="U57" i="4"/>
  <c r="U67" i="4"/>
  <c r="U141" i="4"/>
  <c r="U53" i="5"/>
  <c r="U18" i="9"/>
  <c r="U242" i="9"/>
  <c r="U155" i="9"/>
  <c r="U39" i="21"/>
  <c r="U4" i="23"/>
  <c r="U33" i="23"/>
  <c r="U96" i="23"/>
  <c r="U120" i="23"/>
  <c r="U125" i="23"/>
  <c r="U127" i="23"/>
  <c r="U157" i="23"/>
  <c r="U159" i="23"/>
  <c r="U179" i="23"/>
  <c r="U181" i="23"/>
  <c r="U189" i="23"/>
  <c r="U197" i="23"/>
  <c r="U200" i="23"/>
  <c r="U272" i="23"/>
  <c r="U276" i="23"/>
  <c r="U287" i="23"/>
  <c r="U305" i="23"/>
  <c r="U312" i="23"/>
  <c r="U319" i="23"/>
  <c r="U331" i="16"/>
  <c r="U315" i="16"/>
  <c r="U302" i="16"/>
  <c r="U286" i="16"/>
  <c r="U268" i="16"/>
  <c r="U248" i="16"/>
  <c r="U232" i="16"/>
  <c r="U212" i="16"/>
  <c r="U192" i="16"/>
  <c r="U174" i="16"/>
  <c r="U152" i="16"/>
  <c r="U136" i="16"/>
  <c r="U118" i="16"/>
  <c r="U96" i="16"/>
  <c r="U74" i="16"/>
  <c r="U52" i="16"/>
  <c r="U24" i="16"/>
  <c r="U42" i="2"/>
  <c r="U63" i="2"/>
  <c r="U50" i="2"/>
  <c r="U15" i="20"/>
  <c r="U32" i="3"/>
  <c r="U30" i="3"/>
  <c r="U7" i="4"/>
  <c r="U98" i="4"/>
  <c r="U77" i="4"/>
  <c r="U112" i="4"/>
  <c r="U12" i="5"/>
  <c r="U20" i="9"/>
  <c r="U240" i="9"/>
  <c r="U131" i="9"/>
  <c r="U207" i="9"/>
  <c r="U5" i="23"/>
  <c r="U32" i="23"/>
  <c r="U48" i="23"/>
  <c r="U68" i="23"/>
  <c r="U72" i="23"/>
  <c r="U87" i="23"/>
  <c r="U92" i="23"/>
  <c r="U124" i="23"/>
  <c r="U128" i="23"/>
  <c r="U136" i="23"/>
  <c r="U139" i="23"/>
  <c r="U149" i="23"/>
  <c r="U177" i="23"/>
  <c r="U228" i="23"/>
  <c r="U232" i="23"/>
  <c r="U241" i="23"/>
  <c r="U243" i="23"/>
  <c r="U251" i="23"/>
  <c r="U256" i="23"/>
  <c r="U271" i="23"/>
  <c r="U273" i="23"/>
  <c r="U277" i="23"/>
  <c r="U292" i="23"/>
  <c r="U299" i="23"/>
  <c r="U309" i="23"/>
  <c r="U324" i="23"/>
  <c r="U333" i="23"/>
  <c r="U336" i="23"/>
  <c r="U265" i="16"/>
  <c r="U247" i="16"/>
  <c r="U229" i="16"/>
  <c r="U207" i="16"/>
  <c r="U191" i="16"/>
  <c r="U173" i="16"/>
  <c r="U151" i="16"/>
  <c r="U133" i="16"/>
  <c r="U117" i="16"/>
  <c r="U95" i="16"/>
  <c r="U73" i="16"/>
  <c r="U47" i="16"/>
  <c r="U19" i="16"/>
  <c r="U58" i="2"/>
  <c r="U47" i="2"/>
  <c r="U73" i="2"/>
  <c r="U22" i="20"/>
  <c r="U35" i="3"/>
  <c r="U10" i="3"/>
  <c r="U124" i="4"/>
  <c r="U100" i="4"/>
  <c r="U80" i="4"/>
  <c r="U114" i="4"/>
  <c r="U43" i="5"/>
  <c r="U41" i="9"/>
  <c r="U241" i="9"/>
  <c r="U143" i="9"/>
  <c r="U210" i="9"/>
  <c r="U6" i="23"/>
  <c r="U19" i="23"/>
  <c r="U28" i="23"/>
  <c r="U57" i="23"/>
  <c r="U60" i="23"/>
  <c r="U65" i="23"/>
  <c r="U69" i="23"/>
  <c r="U81" i="23"/>
  <c r="U85" i="23"/>
  <c r="U97" i="23"/>
  <c r="U112" i="23"/>
  <c r="U116" i="23"/>
  <c r="U129" i="23"/>
  <c r="U145" i="23"/>
  <c r="U152" i="23"/>
  <c r="U161" i="23"/>
  <c r="U169" i="23"/>
  <c r="U180" i="23"/>
  <c r="U195" i="23"/>
  <c r="U203" i="23"/>
  <c r="U216" i="23"/>
  <c r="U235" i="23"/>
  <c r="U248" i="23"/>
  <c r="U259" i="23"/>
  <c r="U261" i="23"/>
  <c r="U264" i="23"/>
  <c r="U295" i="23"/>
  <c r="U304" i="23"/>
  <c r="U307" i="23"/>
  <c r="U311" i="23"/>
  <c r="Z335" i="16"/>
  <c r="Z323" i="16"/>
  <c r="Z310" i="16"/>
  <c r="Z296" i="16"/>
  <c r="Z285" i="16"/>
  <c r="Z271" i="16"/>
  <c r="Z259" i="16"/>
  <c r="Z246" i="16"/>
  <c r="Z232" i="16"/>
  <c r="Z221" i="16"/>
  <c r="Z207" i="16"/>
  <c r="Z195" i="16"/>
  <c r="Z182" i="16"/>
  <c r="Z168" i="16"/>
  <c r="Z157" i="16"/>
  <c r="Z143" i="16"/>
  <c r="Z131" i="16"/>
  <c r="Z118" i="16"/>
  <c r="Z104" i="16"/>
  <c r="Z93" i="16"/>
  <c r="Z79" i="16"/>
  <c r="Z67" i="16"/>
  <c r="Z54" i="16"/>
  <c r="Z40" i="16"/>
  <c r="Z29" i="16"/>
  <c r="Z15" i="16"/>
  <c r="AA8" i="23"/>
  <c r="AA13" i="23"/>
  <c r="AA17" i="23"/>
  <c r="AA22" i="23"/>
  <c r="AA28" i="23"/>
  <c r="AA30" i="23"/>
  <c r="AA52" i="23"/>
  <c r="AA54" i="23"/>
  <c r="AA63" i="23"/>
  <c r="AA66" i="23"/>
  <c r="AA72" i="23"/>
  <c r="AA79" i="23"/>
  <c r="AA91" i="23"/>
  <c r="AA106" i="23"/>
  <c r="AA119" i="23"/>
  <c r="AA143" i="23"/>
  <c r="AA181" i="23"/>
  <c r="AA194" i="23"/>
  <c r="AA280" i="23"/>
  <c r="AA283" i="23"/>
  <c r="AA309" i="23"/>
  <c r="AA322" i="23"/>
  <c r="Z334" i="16"/>
  <c r="Z320" i="16"/>
  <c r="Z309" i="16"/>
  <c r="Z295" i="16"/>
  <c r="Z283" i="16"/>
  <c r="Z270" i="16"/>
  <c r="Z256" i="16"/>
  <c r="Z245" i="16"/>
  <c r="Z231" i="16"/>
  <c r="Z219" i="16"/>
  <c r="Z206" i="16"/>
  <c r="Z192" i="16"/>
  <c r="Z181" i="16"/>
  <c r="Z167" i="16"/>
  <c r="Z155" i="16"/>
  <c r="Z142" i="16"/>
  <c r="Z128" i="16"/>
  <c r="Z117" i="16"/>
  <c r="Z103" i="16"/>
  <c r="Z91" i="16"/>
  <c r="Z78" i="16"/>
  <c r="Z64" i="16"/>
  <c r="Z53" i="16"/>
  <c r="Z39" i="16"/>
  <c r="Z27" i="16"/>
  <c r="Z14" i="16"/>
  <c r="AA48" i="23"/>
  <c r="AA59" i="23"/>
  <c r="AA70" i="23"/>
  <c r="AA84" i="23"/>
  <c r="AA98" i="23"/>
  <c r="AA104" i="23"/>
  <c r="AA109" i="23"/>
  <c r="AA112" i="23"/>
  <c r="AA126" i="23"/>
  <c r="AA131" i="23"/>
  <c r="AA138" i="23"/>
  <c r="AA155" i="23"/>
  <c r="AA159" i="23"/>
  <c r="AA161" i="23"/>
  <c r="AA177" i="23"/>
  <c r="AA202" i="23"/>
  <c r="AA219" i="23"/>
  <c r="AA230" i="23"/>
  <c r="AA246" i="23"/>
  <c r="AA248" i="23"/>
  <c r="AA251" i="23"/>
  <c r="AA266" i="23"/>
  <c r="AA276" i="23"/>
  <c r="AA278" i="23"/>
  <c r="AA334" i="23"/>
  <c r="AC228" i="23"/>
  <c r="AC244" i="23"/>
  <c r="AC257" i="23"/>
  <c r="AC276" i="23"/>
  <c r="AC302" i="23"/>
  <c r="AC332" i="23"/>
  <c r="AB333" i="16"/>
  <c r="AB325" i="16"/>
  <c r="AB317" i="16"/>
  <c r="AB309" i="16"/>
  <c r="AB301" i="16"/>
  <c r="AB293" i="16"/>
  <c r="AB283" i="16"/>
  <c r="AB274" i="16"/>
  <c r="AB265" i="16"/>
  <c r="AB256" i="16"/>
  <c r="AB247" i="16"/>
  <c r="AB238" i="16"/>
  <c r="AB229" i="16"/>
  <c r="AB219" i="16"/>
  <c r="AB209" i="16"/>
  <c r="AB199" i="16"/>
  <c r="AB187" i="16"/>
  <c r="AB177" i="16"/>
  <c r="AB167" i="16"/>
  <c r="AB155" i="16"/>
  <c r="AB145" i="16"/>
  <c r="AB135" i="16"/>
  <c r="AB123" i="16"/>
  <c r="AB113" i="16"/>
  <c r="AB103" i="16"/>
  <c r="AB91" i="16"/>
  <c r="AB81" i="16"/>
  <c r="AB71" i="16"/>
  <c r="AB59" i="16"/>
  <c r="AB49" i="16"/>
  <c r="AB39" i="16"/>
  <c r="AB27" i="16"/>
  <c r="AB17" i="16"/>
  <c r="AC12" i="23"/>
  <c r="AC37" i="23"/>
  <c r="AC59" i="23"/>
  <c r="AC65" i="23"/>
  <c r="AC68" i="23"/>
  <c r="AC85" i="23"/>
  <c r="AC87" i="23"/>
  <c r="AC103" i="23"/>
  <c r="AC105" i="23"/>
  <c r="AC108" i="23"/>
  <c r="AC128" i="23"/>
  <c r="AC131" i="23"/>
  <c r="AC153" i="23"/>
  <c r="AC193" i="23"/>
  <c r="AC208" i="23"/>
  <c r="AC221" i="23"/>
  <c r="AC248" i="23"/>
  <c r="AC262" i="23"/>
  <c r="AC278" i="23"/>
  <c r="AC280" i="23"/>
  <c r="AC294" i="23"/>
  <c r="AC300" i="23"/>
  <c r="AC309" i="23"/>
  <c r="AC312" i="23"/>
  <c r="AC317" i="23"/>
  <c r="AC320" i="23"/>
  <c r="AC202" i="23"/>
  <c r="AC231" i="23"/>
  <c r="AC246" i="23"/>
  <c r="AC271" i="23"/>
  <c r="AC291" i="23"/>
  <c r="AC304" i="23"/>
  <c r="AC314" i="23"/>
  <c r="AC337" i="23"/>
  <c r="AB332" i="16"/>
  <c r="AB324" i="16"/>
  <c r="AB316" i="16"/>
  <c r="AB308" i="16"/>
  <c r="AB300" i="16"/>
  <c r="AB291" i="16"/>
  <c r="AB282" i="16"/>
  <c r="AB273" i="16"/>
  <c r="AB264" i="16"/>
  <c r="AB255" i="16"/>
  <c r="AB246" i="16"/>
  <c r="AB237" i="16"/>
  <c r="AB227" i="16"/>
  <c r="AB218" i="16"/>
  <c r="AB208" i="16"/>
  <c r="AB198" i="16"/>
  <c r="AB186" i="16"/>
  <c r="AB176" i="16"/>
  <c r="AB166" i="16"/>
  <c r="AB154" i="16"/>
  <c r="AB144" i="16"/>
  <c r="AB134" i="16"/>
  <c r="AB122" i="16"/>
  <c r="AB112" i="16"/>
  <c r="AB102" i="16"/>
  <c r="AB90" i="16"/>
  <c r="AB80" i="16"/>
  <c r="AB70" i="16"/>
  <c r="AB58" i="16"/>
  <c r="AB48" i="16"/>
  <c r="AB38" i="16"/>
  <c r="AB26" i="16"/>
  <c r="AB16" i="16"/>
  <c r="AC10" i="23"/>
  <c r="AC21" i="23"/>
  <c r="AC27" i="23"/>
  <c r="AC61" i="23"/>
  <c r="AC74" i="23"/>
  <c r="AC94" i="23"/>
  <c r="AC96" i="23"/>
  <c r="AC98" i="23"/>
  <c r="AC101" i="23"/>
  <c r="AC120" i="23"/>
  <c r="AC138" i="23"/>
  <c r="AC143" i="23"/>
  <c r="AC145" i="23"/>
  <c r="AC149" i="23"/>
  <c r="AC151" i="23"/>
  <c r="AC162" i="23"/>
  <c r="AC167" i="23"/>
  <c r="AC177" i="23"/>
  <c r="AC181" i="23"/>
  <c r="AC186" i="23"/>
  <c r="AC195" i="23"/>
  <c r="AC198" i="23"/>
  <c r="AC217" i="23"/>
  <c r="AC234" i="23"/>
  <c r="AC251" i="23"/>
  <c r="AC253" i="23"/>
  <c r="AC274" i="23"/>
  <c r="AC283" i="23"/>
  <c r="AC298" i="23"/>
  <c r="AC325" i="23"/>
  <c r="AC328" i="23"/>
  <c r="AD64" i="16"/>
  <c r="AD44" i="16"/>
  <c r="AD12" i="16"/>
  <c r="AE44" i="23"/>
  <c r="AE71" i="23"/>
  <c r="AE88" i="23"/>
  <c r="AE94" i="23"/>
  <c r="AE111" i="23"/>
  <c r="AE124" i="23"/>
  <c r="AE136" i="23"/>
  <c r="AE174" i="23"/>
  <c r="AE180" i="23"/>
  <c r="AE186" i="23"/>
  <c r="AE211" i="23"/>
  <c r="AE218" i="23"/>
  <c r="AE244" i="23"/>
  <c r="AE276" i="23"/>
  <c r="AE286" i="23"/>
  <c r="AE290" i="23"/>
  <c r="AE300" i="23"/>
  <c r="AE321" i="23"/>
  <c r="AE332" i="23"/>
  <c r="AD329" i="16"/>
  <c r="AD319" i="16"/>
  <c r="AD309" i="16"/>
  <c r="AD297" i="16"/>
  <c r="AD287" i="16"/>
  <c r="AD277" i="16"/>
  <c r="AD265" i="16"/>
  <c r="AD255" i="16"/>
  <c r="AD245" i="16"/>
  <c r="AD233" i="16"/>
  <c r="AD223" i="16"/>
  <c r="AD213" i="16"/>
  <c r="AD201" i="16"/>
  <c r="AD191" i="16"/>
  <c r="AD181" i="16"/>
  <c r="AD169" i="16"/>
  <c r="AD159" i="16"/>
  <c r="AD149" i="16"/>
  <c r="AD137" i="16"/>
  <c r="AD127" i="16"/>
  <c r="AD117" i="16"/>
  <c r="AD105" i="16"/>
  <c r="AD95" i="16"/>
  <c r="AD85" i="16"/>
  <c r="AD73" i="16"/>
  <c r="AD63" i="16"/>
  <c r="AD53" i="16"/>
  <c r="AD41" i="16"/>
  <c r="AD31" i="16"/>
  <c r="AD21" i="16"/>
  <c r="AD9" i="16"/>
  <c r="AE16" i="23"/>
  <c r="AE22" i="23"/>
  <c r="AE33" i="23"/>
  <c r="AE42" i="23"/>
  <c r="AE58" i="23"/>
  <c r="AE69" i="23"/>
  <c r="AE77" i="23"/>
  <c r="AE96" i="23"/>
  <c r="AE107" i="23"/>
  <c r="AE115" i="23"/>
  <c r="AE120" i="23"/>
  <c r="AE132" i="23"/>
  <c r="AE141" i="23"/>
  <c r="AE149" i="23"/>
  <c r="AE153" i="23"/>
  <c r="AE155" i="23"/>
  <c r="AE157" i="23"/>
  <c r="AE169" i="23"/>
  <c r="AE188" i="23"/>
  <c r="AE197" i="23"/>
  <c r="AE199" i="23"/>
  <c r="AE201" i="23"/>
  <c r="AE203" i="23"/>
  <c r="AE227" i="23"/>
  <c r="AE232" i="23"/>
  <c r="AE234" i="23"/>
  <c r="AE261" i="23"/>
  <c r="AE263" i="23"/>
  <c r="AE274" i="23"/>
  <c r="AE316" i="23"/>
  <c r="AE330" i="23"/>
  <c r="AE337" i="23"/>
  <c r="AD86" i="16"/>
  <c r="AD54" i="16"/>
  <c r="AD32" i="16"/>
  <c r="AD22" i="16"/>
  <c r="AE53" i="23"/>
  <c r="AE66" i="23"/>
  <c r="AE86" i="23"/>
  <c r="AE92" i="23"/>
  <c r="AE100" i="23"/>
  <c r="AE113" i="23"/>
  <c r="AE130" i="23"/>
  <c r="AE143" i="23"/>
  <c r="AE176" i="23"/>
  <c r="AE182" i="23"/>
  <c r="AE190" i="23"/>
  <c r="AE216" i="23"/>
  <c r="AE229" i="23"/>
  <c r="AE250" i="23"/>
  <c r="AE282" i="23"/>
  <c r="AE288" i="23"/>
  <c r="AE298" i="23"/>
  <c r="AE304" i="23"/>
  <c r="AE325" i="23"/>
  <c r="AD328" i="16"/>
  <c r="AD318" i="16"/>
  <c r="AD308" i="16"/>
  <c r="AD296" i="16"/>
  <c r="AD286" i="16"/>
  <c r="AD276" i="16"/>
  <c r="AD264" i="16"/>
  <c r="AD254" i="16"/>
  <c r="AD244" i="16"/>
  <c r="AD232" i="16"/>
  <c r="AD222" i="16"/>
  <c r="AD212" i="16"/>
  <c r="AD200" i="16"/>
  <c r="AD190" i="16"/>
  <c r="AD180" i="16"/>
  <c r="AD168" i="16"/>
  <c r="AD158" i="16"/>
  <c r="AD148" i="16"/>
  <c r="AD136" i="16"/>
  <c r="AD126" i="16"/>
  <c r="AD116" i="16"/>
  <c r="AD104" i="16"/>
  <c r="AD94" i="16"/>
  <c r="AD84" i="16"/>
  <c r="AD72" i="16"/>
  <c r="AD62" i="16"/>
  <c r="AD52" i="16"/>
  <c r="AD40" i="16"/>
  <c r="AD30" i="16"/>
  <c r="AD20" i="16"/>
  <c r="AD8" i="16"/>
  <c r="AE8" i="23"/>
  <c r="AE18" i="23"/>
  <c r="AE26" i="23"/>
  <c r="AE31" i="23"/>
  <c r="AE38" i="23"/>
  <c r="AE50" i="23"/>
  <c r="AE64" i="23"/>
  <c r="AE81" i="23"/>
  <c r="AE103" i="23"/>
  <c r="AE110" i="23"/>
  <c r="AE128" i="23"/>
  <c r="AE161" i="23"/>
  <c r="AE163" i="23"/>
  <c r="AE165" i="23"/>
  <c r="AE172" i="23"/>
  <c r="AE179" i="23"/>
  <c r="AE184" i="23"/>
  <c r="AE193" i="23"/>
  <c r="AE205" i="23"/>
  <c r="AE209" i="23"/>
  <c r="AE220" i="23"/>
  <c r="AE248" i="23"/>
  <c r="AE259" i="23"/>
  <c r="AE268" i="23"/>
  <c r="AE280" i="23"/>
  <c r="AE309" i="23"/>
  <c r="AE314" i="23"/>
  <c r="AG98" i="23"/>
  <c r="AG130" i="23"/>
  <c r="AG149" i="23"/>
  <c r="AG169" i="23"/>
  <c r="AG188" i="23"/>
  <c r="AG206" i="23"/>
  <c r="AG237" i="23"/>
  <c r="AG256" i="23"/>
  <c r="AG262" i="23"/>
  <c r="AG285" i="23"/>
  <c r="AG309" i="23"/>
  <c r="AG322" i="23"/>
  <c r="AG335" i="23"/>
  <c r="AF332" i="16"/>
  <c r="AF324" i="16"/>
  <c r="AF315" i="16"/>
  <c r="AF305" i="16"/>
  <c r="AF296" i="16"/>
  <c r="AF287" i="16"/>
  <c r="AF278" i="16"/>
  <c r="AF269" i="16"/>
  <c r="AF260" i="16"/>
  <c r="AF251" i="16"/>
  <c r="AF241" i="16"/>
  <c r="AF232" i="16"/>
  <c r="AF223" i="16"/>
  <c r="AF214" i="16"/>
  <c r="AF205" i="16"/>
  <c r="AF196" i="16"/>
  <c r="AF187" i="16"/>
  <c r="AF177" i="16"/>
  <c r="AF168" i="16"/>
  <c r="AF159" i="16"/>
  <c r="AF150" i="16"/>
  <c r="AF141" i="16"/>
  <c r="AF132" i="16"/>
  <c r="AF123" i="16"/>
  <c r="AF113" i="16"/>
  <c r="AF104" i="16"/>
  <c r="AF95" i="16"/>
  <c r="AF86" i="16"/>
  <c r="AF77" i="16"/>
  <c r="AF68" i="16"/>
  <c r="AF59" i="16"/>
  <c r="AF49" i="16"/>
  <c r="AF40" i="16"/>
  <c r="AF31" i="16"/>
  <c r="AF22" i="16"/>
  <c r="AF13" i="16"/>
  <c r="AG24" i="23"/>
  <c r="AG26" i="23"/>
  <c r="AG39" i="23"/>
  <c r="AG43" i="23"/>
  <c r="AG52" i="23"/>
  <c r="AG54" i="23"/>
  <c r="AG58" i="23"/>
  <c r="AG66" i="23"/>
  <c r="AG68" i="23"/>
  <c r="AG80" i="23"/>
  <c r="AG87" i="23"/>
  <c r="AG119" i="23"/>
  <c r="AG128" i="23"/>
  <c r="AG136" i="23"/>
  <c r="AG138" i="23"/>
  <c r="AG144" i="23"/>
  <c r="AG146" i="23"/>
  <c r="AG151" i="23"/>
  <c r="AG158" i="23"/>
  <c r="AG162" i="23"/>
  <c r="AG174" i="23"/>
  <c r="AG213" i="23"/>
  <c r="AG220" i="23"/>
  <c r="AG233" i="23"/>
  <c r="AG241" i="23"/>
  <c r="AG243" i="23"/>
  <c r="AG248" i="23"/>
  <c r="AG264" i="23"/>
  <c r="AG272" i="23"/>
  <c r="AG282" i="23"/>
  <c r="AG301" i="23"/>
  <c r="AG310" i="23"/>
  <c r="AG318" i="23"/>
  <c r="AG326" i="23"/>
  <c r="AG100" i="23"/>
  <c r="AG140" i="23"/>
  <c r="AG156" i="23"/>
  <c r="AG184" i="23"/>
  <c r="AG190" i="23"/>
  <c r="AG231" i="23"/>
  <c r="AG250" i="23"/>
  <c r="AG260" i="23"/>
  <c r="AG278" i="23"/>
  <c r="AG305" i="23"/>
  <c r="AG320" i="23"/>
  <c r="AG330" i="23"/>
  <c r="AG332" i="23"/>
  <c r="AF331" i="16"/>
  <c r="AF323" i="16"/>
  <c r="AF313" i="16"/>
  <c r="AF304" i="16"/>
  <c r="AF295" i="16"/>
  <c r="AF286" i="16"/>
  <c r="AF277" i="16"/>
  <c r="AF268" i="16"/>
  <c r="AF259" i="16"/>
  <c r="AF249" i="16"/>
  <c r="AF240" i="16"/>
  <c r="AF231" i="16"/>
  <c r="AF222" i="16"/>
  <c r="AF213" i="16"/>
  <c r="AF204" i="16"/>
  <c r="AF195" i="16"/>
  <c r="AF185" i="16"/>
  <c r="AF176" i="16"/>
  <c r="AF167" i="16"/>
  <c r="AF158" i="16"/>
  <c r="AF149" i="16"/>
  <c r="AF140" i="16"/>
  <c r="AF131" i="16"/>
  <c r="AF121" i="16"/>
  <c r="AF112" i="16"/>
  <c r="AF103" i="16"/>
  <c r="AF94" i="16"/>
  <c r="AF85" i="16"/>
  <c r="AF76" i="16"/>
  <c r="AF67" i="16"/>
  <c r="AF57" i="16"/>
  <c r="AF48" i="16"/>
  <c r="AF39" i="16"/>
  <c r="AF30" i="16"/>
  <c r="AF21" i="16"/>
  <c r="AF12" i="16"/>
  <c r="AG7" i="23"/>
  <c r="AG11" i="23"/>
  <c r="AG15" i="23"/>
  <c r="AG31" i="23"/>
  <c r="AG33" i="23"/>
  <c r="AG41" i="23"/>
  <c r="AG45" i="23"/>
  <c r="AG73" i="23"/>
  <c r="AG91" i="23"/>
  <c r="AG107" i="23"/>
  <c r="AG109" i="23"/>
  <c r="AG116" i="23"/>
  <c r="AG121" i="23"/>
  <c r="AG123" i="23"/>
  <c r="AG148" i="23"/>
  <c r="AG153" i="23"/>
  <c r="AG166" i="23"/>
  <c r="AG168" i="23"/>
  <c r="AG172" i="23"/>
  <c r="AG176" i="23"/>
  <c r="AG178" i="23"/>
  <c r="AG181" i="23"/>
  <c r="AG183" i="23"/>
  <c r="AG197" i="23"/>
  <c r="AG208" i="23"/>
  <c r="AG210" i="23"/>
  <c r="AG215" i="23"/>
  <c r="AG225" i="23"/>
  <c r="AG227" i="23"/>
  <c r="AG275" i="23"/>
  <c r="AG280" i="23"/>
  <c r="AG294" i="23"/>
  <c r="AG314" i="23"/>
  <c r="AG316" i="23"/>
  <c r="AG324" i="23"/>
  <c r="AH336" i="16"/>
  <c r="AH320" i="16"/>
  <c r="AH306" i="16"/>
  <c r="AH294" i="16"/>
  <c r="AH278" i="16"/>
  <c r="AH264" i="16"/>
  <c r="AH250" i="16"/>
  <c r="AH234" i="16"/>
  <c r="AH222" i="16"/>
  <c r="AH208" i="16"/>
  <c r="AH192" i="16"/>
  <c r="AH178" i="16"/>
  <c r="AH166" i="16"/>
  <c r="AH150" i="16"/>
  <c r="AH136" i="16"/>
  <c r="AH122" i="16"/>
  <c r="AH106" i="16"/>
  <c r="AH94" i="16"/>
  <c r="AH80" i="16"/>
  <c r="AH64" i="16"/>
  <c r="AH50" i="16"/>
  <c r="AH38" i="16"/>
  <c r="AH22" i="16"/>
  <c r="AI19" i="23"/>
  <c r="AI41" i="23"/>
  <c r="AI43" i="23"/>
  <c r="AI61" i="23"/>
  <c r="AI63" i="23"/>
  <c r="AI65" i="23"/>
  <c r="AI90" i="23"/>
  <c r="AI95" i="23"/>
  <c r="AI103" i="23"/>
  <c r="AI107" i="23"/>
  <c r="AI132" i="23"/>
  <c r="AI140" i="23"/>
  <c r="AI142" i="23"/>
  <c r="AI175" i="23"/>
  <c r="AI182" i="23"/>
  <c r="AI195" i="23"/>
  <c r="AI199" i="23"/>
  <c r="AI225" i="23"/>
  <c r="AI229" i="23"/>
  <c r="AI231" i="23"/>
  <c r="AI235" i="23"/>
  <c r="AI268" i="23"/>
  <c r="AI304" i="23"/>
  <c r="AI306" i="23"/>
  <c r="AI308" i="23"/>
  <c r="AI314" i="23"/>
  <c r="AH334" i="16"/>
  <c r="AH322" i="16"/>
  <c r="AH312" i="16"/>
  <c r="AH302" i="16"/>
  <c r="AH290" i="16"/>
  <c r="AH280" i="16"/>
  <c r="AH270" i="16"/>
  <c r="AH258" i="16"/>
  <c r="AH248" i="16"/>
  <c r="AH238" i="16"/>
  <c r="AH226" i="16"/>
  <c r="AH216" i="16"/>
  <c r="AH206" i="16"/>
  <c r="AH194" i="16"/>
  <c r="AH184" i="16"/>
  <c r="AH174" i="16"/>
  <c r="AH162" i="16"/>
  <c r="AH152" i="16"/>
  <c r="AH142" i="16"/>
  <c r="AH130" i="16"/>
  <c r="AH120" i="16"/>
  <c r="AH110" i="16"/>
  <c r="AH98" i="16"/>
  <c r="AH88" i="16"/>
  <c r="AH78" i="16"/>
  <c r="AH66" i="16"/>
  <c r="AH56" i="16"/>
  <c r="AH46" i="16"/>
  <c r="AH34" i="16"/>
  <c r="AH24" i="16"/>
  <c r="AH14" i="16"/>
  <c r="AI10" i="23"/>
  <c r="AI12" i="23"/>
  <c r="AI17" i="23"/>
  <c r="AI21" i="23"/>
  <c r="AI35" i="23"/>
  <c r="AI39" i="23"/>
  <c r="AI64" i="23"/>
  <c r="AI66" i="23"/>
  <c r="AI70" i="23"/>
  <c r="AI72" i="23"/>
  <c r="AI77" i="23"/>
  <c r="AI84" i="23"/>
  <c r="AI98" i="23"/>
  <c r="AI105" i="23"/>
  <c r="AI109" i="23"/>
  <c r="AI137" i="23"/>
  <c r="AI139" i="23"/>
  <c r="AI144" i="23"/>
  <c r="AI161" i="23"/>
  <c r="AI176" i="23"/>
  <c r="AI188" i="23"/>
  <c r="AI192" i="23"/>
  <c r="AI201" i="23"/>
  <c r="AI203" i="23"/>
  <c r="AI222" i="23"/>
  <c r="AI224" i="23"/>
  <c r="AI233" i="23"/>
  <c r="AI246" i="23"/>
  <c r="AI251" i="23"/>
  <c r="AI255" i="23"/>
  <c r="AI278" i="23"/>
  <c r="AI300" i="23"/>
  <c r="AI315" i="23"/>
  <c r="AI324" i="23"/>
  <c r="AI326" i="23"/>
  <c r="AI330" i="23"/>
  <c r="AH331" i="16"/>
  <c r="AH321" i="16"/>
  <c r="AH311" i="16"/>
  <c r="AH299" i="16"/>
  <c r="AH289" i="16"/>
  <c r="AH279" i="16"/>
  <c r="AH267" i="16"/>
  <c r="AH257" i="16"/>
  <c r="AH247" i="16"/>
  <c r="AH235" i="16"/>
  <c r="AH225" i="16"/>
  <c r="AH215" i="16"/>
  <c r="AH203" i="16"/>
  <c r="AH193" i="16"/>
  <c r="AH183" i="16"/>
  <c r="AH171" i="16"/>
  <c r="AH161" i="16"/>
  <c r="AH151" i="16"/>
  <c r="AH139" i="16"/>
  <c r="AH129" i="16"/>
  <c r="AH119" i="16"/>
  <c r="AH107" i="16"/>
  <c r="AH97" i="16"/>
  <c r="AH87" i="16"/>
  <c r="AH75" i="16"/>
  <c r="AH65" i="16"/>
  <c r="AH55" i="16"/>
  <c r="AH43" i="16"/>
  <c r="AH33" i="16"/>
  <c r="AH23" i="16"/>
  <c r="AH11" i="16"/>
  <c r="AI48" i="23"/>
  <c r="AI68" i="23"/>
  <c r="AI93" i="23"/>
  <c r="AI100" i="23"/>
  <c r="AI102" i="23"/>
  <c r="AI121" i="23"/>
  <c r="AI128" i="23"/>
  <c r="AI130" i="23"/>
  <c r="AI151" i="23"/>
  <c r="AI156" i="23"/>
  <c r="AI165" i="23"/>
  <c r="AI167" i="23"/>
  <c r="AI190" i="23"/>
  <c r="AI215" i="23"/>
  <c r="AI220" i="23"/>
  <c r="AI226" i="23"/>
  <c r="AI253" i="23"/>
  <c r="AI257" i="23"/>
  <c r="AI275" i="23"/>
  <c r="AI285" i="23"/>
  <c r="AI287" i="23"/>
  <c r="AI293" i="23"/>
  <c r="AI310" i="23"/>
  <c r="AI317" i="23"/>
  <c r="AI319" i="23"/>
  <c r="AI335" i="23"/>
  <c r="AI332" i="23"/>
  <c r="AH333" i="16"/>
  <c r="AH325" i="16"/>
  <c r="AH317" i="16"/>
  <c r="AH309" i="16"/>
  <c r="AH301" i="16"/>
  <c r="AH293" i="16"/>
  <c r="AH285" i="16"/>
  <c r="AH277" i="16"/>
  <c r="AH269" i="16"/>
  <c r="AH261" i="16"/>
  <c r="AH253" i="16"/>
  <c r="AH245" i="16"/>
  <c r="AH237" i="16"/>
  <c r="AH229" i="16"/>
  <c r="AH221" i="16"/>
  <c r="AH213" i="16"/>
  <c r="AH205" i="16"/>
  <c r="AH197" i="16"/>
  <c r="AH189" i="16"/>
  <c r="AH181" i="16"/>
  <c r="AH173" i="16"/>
  <c r="AH165" i="16"/>
  <c r="AH157" i="16"/>
  <c r="AH149" i="16"/>
  <c r="AH141" i="16"/>
  <c r="AH133" i="16"/>
  <c r="AH125" i="16"/>
  <c r="AH117" i="16"/>
  <c r="AH109" i="16"/>
  <c r="AH101" i="16"/>
  <c r="AH93" i="16"/>
  <c r="AH85" i="16"/>
  <c r="AH77" i="16"/>
  <c r="AH69" i="16"/>
  <c r="AH61" i="16"/>
  <c r="AH53" i="16"/>
  <c r="AH45" i="16"/>
  <c r="AH37" i="16"/>
  <c r="AH29" i="16"/>
  <c r="AH21" i="16"/>
  <c r="AH13" i="16"/>
  <c r="AI8" i="23"/>
  <c r="AI13" i="23"/>
  <c r="AI15" i="23"/>
  <c r="AI18" i="23"/>
  <c r="AI20" i="23"/>
  <c r="AI31" i="23"/>
  <c r="AI40" i="23"/>
  <c r="AI45" i="23"/>
  <c r="AI50" i="23"/>
  <c r="AI53" i="23"/>
  <c r="AI55" i="23"/>
  <c r="AI62" i="23"/>
  <c r="AI67" i="23"/>
  <c r="AI69" i="23"/>
  <c r="AI76" i="23"/>
  <c r="AI78" i="23"/>
  <c r="AI89" i="23"/>
  <c r="AI94" i="23"/>
  <c r="AI104" i="23"/>
  <c r="AI111" i="23"/>
  <c r="AI136" i="23"/>
  <c r="AI141" i="23"/>
  <c r="AI146" i="23"/>
  <c r="AI149" i="23"/>
  <c r="AI164" i="23"/>
  <c r="AI171" i="23"/>
  <c r="AI178" i="23"/>
  <c r="AI189" i="23"/>
  <c r="AI196" i="23"/>
  <c r="AI208" i="23"/>
  <c r="AI230" i="23"/>
  <c r="AI237" i="23"/>
  <c r="AI244" i="23"/>
  <c r="AI256" i="23"/>
  <c r="AI263" i="23"/>
  <c r="AI267" i="23"/>
  <c r="AI272" i="23"/>
  <c r="AI276" i="23"/>
  <c r="AI286" i="23"/>
  <c r="AI291" i="23"/>
  <c r="AI302" i="23"/>
  <c r="AI309" i="23"/>
  <c r="AI320" i="23"/>
  <c r="AI318" i="23"/>
  <c r="AI334" i="23"/>
  <c r="AH332" i="16"/>
  <c r="AH324" i="16"/>
  <c r="AH316" i="16"/>
  <c r="AH308" i="16"/>
  <c r="AH300" i="16"/>
  <c r="AH292" i="16"/>
  <c r="AH284" i="16"/>
  <c r="AH276" i="16"/>
  <c r="AH268" i="16"/>
  <c r="AH260" i="16"/>
  <c r="AH252" i="16"/>
  <c r="AH244" i="16"/>
  <c r="AH236" i="16"/>
  <c r="AH228" i="16"/>
  <c r="AH220" i="16"/>
  <c r="AH212" i="16"/>
  <c r="AH204" i="16"/>
  <c r="AH196" i="16"/>
  <c r="AH188" i="16"/>
  <c r="AH180" i="16"/>
  <c r="AH172" i="16"/>
  <c r="AH164" i="16"/>
  <c r="AH156" i="16"/>
  <c r="AH148" i="16"/>
  <c r="AH140" i="16"/>
  <c r="AH132" i="16"/>
  <c r="AH124" i="16"/>
  <c r="AH116" i="16"/>
  <c r="AH108" i="16"/>
  <c r="AH100" i="16"/>
  <c r="AH92" i="16"/>
  <c r="AH84" i="16"/>
  <c r="AH76" i="16"/>
  <c r="AH68" i="16"/>
  <c r="AH60" i="16"/>
  <c r="AH52" i="16"/>
  <c r="AH44" i="16"/>
  <c r="AH36" i="16"/>
  <c r="AH28" i="16"/>
  <c r="AH20" i="16"/>
  <c r="AH12" i="16"/>
  <c r="AI23" i="23"/>
  <c r="AI28" i="23"/>
  <c r="AI33" i="23"/>
  <c r="AI37" i="23"/>
  <c r="AI57" i="23"/>
  <c r="AI71" i="23"/>
  <c r="AI86" i="23"/>
  <c r="AI91" i="23"/>
  <c r="AI99" i="23"/>
  <c r="AI101" i="23"/>
  <c r="AI106" i="23"/>
  <c r="AI116" i="23"/>
  <c r="AI119" i="23"/>
  <c r="AI124" i="23"/>
  <c r="AI129" i="23"/>
  <c r="AI143" i="23"/>
  <c r="AI159" i="23"/>
  <c r="AI166" i="23"/>
  <c r="AI169" i="23"/>
  <c r="AI173" i="23"/>
  <c r="AI181" i="23"/>
  <c r="AI184" i="23"/>
  <c r="AI186" i="23"/>
  <c r="AI191" i="23"/>
  <c r="AI198" i="23"/>
  <c r="AI210" i="23"/>
  <c r="AI213" i="23"/>
  <c r="AI216" i="23"/>
  <c r="AI221" i="23"/>
  <c r="AI223" i="23"/>
  <c r="AI228" i="23"/>
  <c r="AI239" i="23"/>
  <c r="AI249" i="23"/>
  <c r="AI258" i="23"/>
  <c r="AI265" i="23"/>
  <c r="AI281" i="23"/>
  <c r="AI288" i="23"/>
  <c r="AI295" i="23"/>
  <c r="AI313" i="23"/>
  <c r="AI325" i="23"/>
  <c r="AI327" i="23"/>
  <c r="AF322" i="16"/>
  <c r="AF314" i="16"/>
  <c r="AF306" i="16"/>
  <c r="AF298" i="16"/>
  <c r="AF290" i="16"/>
  <c r="AF282" i="16"/>
  <c r="AF274" i="16"/>
  <c r="AF266" i="16"/>
  <c r="AF258" i="16"/>
  <c r="AF250" i="16"/>
  <c r="AF242" i="16"/>
  <c r="AF234" i="16"/>
  <c r="AF226" i="16"/>
  <c r="AF218" i="16"/>
  <c r="AF210" i="16"/>
  <c r="AF202" i="16"/>
  <c r="AF194" i="16"/>
  <c r="AF186" i="16"/>
  <c r="AF178" i="16"/>
  <c r="AF170" i="16"/>
  <c r="AF162" i="16"/>
  <c r="AF154" i="16"/>
  <c r="AF146" i="16"/>
  <c r="AF138" i="16"/>
  <c r="AF130" i="16"/>
  <c r="AF122" i="16"/>
  <c r="AF114" i="16"/>
  <c r="AF106" i="16"/>
  <c r="AF98" i="16"/>
  <c r="AF90" i="16"/>
  <c r="AF82" i="16"/>
  <c r="AF74" i="16"/>
  <c r="AF66" i="16"/>
  <c r="AF58" i="16"/>
  <c r="AF50" i="16"/>
  <c r="AF42" i="16"/>
  <c r="AF34" i="16"/>
  <c r="AF26" i="16"/>
  <c r="AF18" i="16"/>
  <c r="AF10" i="16"/>
  <c r="AG9" i="23"/>
  <c r="AG19" i="23"/>
  <c r="AG27" i="23"/>
  <c r="AG35" i="23"/>
  <c r="AG37" i="23"/>
  <c r="AG55" i="23"/>
  <c r="AG60" i="23"/>
  <c r="AG65" i="23"/>
  <c r="AG72" i="23"/>
  <c r="AG85" i="23"/>
  <c r="AG93" i="23"/>
  <c r="AG96" i="23"/>
  <c r="AG106" i="23"/>
  <c r="AG111" i="23"/>
  <c r="AG132" i="23"/>
  <c r="AG134" i="23"/>
  <c r="AG160" i="23"/>
  <c r="AG165" i="23"/>
  <c r="AG170" i="23"/>
  <c r="AG175" i="23"/>
  <c r="AG191" i="23"/>
  <c r="AG196" i="23"/>
  <c r="AG203" i="23"/>
  <c r="AG219" i="23"/>
  <c r="AG224" i="23"/>
  <c r="AG229" i="23"/>
  <c r="AG234" i="23"/>
  <c r="AG236" i="23"/>
  <c r="AG239" i="23"/>
  <c r="AG244" i="23"/>
  <c r="AG252" i="23"/>
  <c r="AG254" i="23"/>
  <c r="AG266" i="23"/>
  <c r="AG268" i="23"/>
  <c r="AG273" i="23"/>
  <c r="AG283" i="23"/>
  <c r="AG288" i="23"/>
  <c r="AG291" i="23"/>
  <c r="AG293" i="23"/>
  <c r="AG298" i="23"/>
  <c r="AG303" i="23"/>
  <c r="AG307" i="23"/>
  <c r="AG317" i="23"/>
  <c r="AG331" i="23"/>
  <c r="AD331" i="16"/>
  <c r="AD323" i="16"/>
  <c r="AD315" i="16"/>
  <c r="AD307" i="16"/>
  <c r="AD299" i="16"/>
  <c r="AD291" i="16"/>
  <c r="AD283" i="16"/>
  <c r="AD275" i="16"/>
  <c r="AD267" i="16"/>
  <c r="AD259" i="16"/>
  <c r="AD251" i="16"/>
  <c r="AD243" i="16"/>
  <c r="AD235" i="16"/>
  <c r="AD227" i="16"/>
  <c r="AD219" i="16"/>
  <c r="AD211" i="16"/>
  <c r="AD203" i="16"/>
  <c r="AD195" i="16"/>
  <c r="AD187" i="16"/>
  <c r="AD179" i="16"/>
  <c r="AD171" i="16"/>
  <c r="AD163" i="16"/>
  <c r="AD155" i="16"/>
  <c r="AD147" i="16"/>
  <c r="AD139" i="16"/>
  <c r="AD131" i="16"/>
  <c r="AD123" i="16"/>
  <c r="AD115" i="16"/>
  <c r="AD107" i="16"/>
  <c r="AD99" i="16"/>
  <c r="AD91" i="16"/>
  <c r="AD83" i="16"/>
  <c r="AD75" i="16"/>
  <c r="AD67" i="16"/>
  <c r="AD59" i="16"/>
  <c r="AD51" i="16"/>
  <c r="AD43" i="16"/>
  <c r="AD35" i="16"/>
  <c r="AD27" i="16"/>
  <c r="AD19" i="16"/>
  <c r="AD11" i="16"/>
  <c r="AE7" i="23"/>
  <c r="AE12" i="23"/>
  <c r="AE29" i="23"/>
  <c r="AE32" i="23"/>
  <c r="AE35" i="23"/>
  <c r="AE43" i="23"/>
  <c r="AE51" i="23"/>
  <c r="AE54" i="23"/>
  <c r="AE57" i="23"/>
  <c r="AE68" i="23"/>
  <c r="AE78" i="23"/>
  <c r="AE84" i="23"/>
  <c r="AE101" i="23"/>
  <c r="AE104" i="23"/>
  <c r="AE112" i="23"/>
  <c r="AE126" i="23"/>
  <c r="AE129" i="23"/>
  <c r="AE134" i="23"/>
  <c r="AE137" i="23"/>
  <c r="AE151" i="23"/>
  <c r="AE162" i="23"/>
  <c r="AE173" i="23"/>
  <c r="AE187" i="23"/>
  <c r="AE222" i="23"/>
  <c r="AE225" i="23"/>
  <c r="AE230" i="23"/>
  <c r="AE235" i="23"/>
  <c r="AE246" i="23"/>
  <c r="AE249" i="23"/>
  <c r="AE252" i="23"/>
  <c r="AE260" i="23"/>
  <c r="AE265" i="23"/>
  <c r="AE270" i="23"/>
  <c r="AE273" i="23"/>
  <c r="AE275" i="23"/>
  <c r="AE310" i="23"/>
  <c r="AE326" i="23"/>
  <c r="AD7" i="16"/>
  <c r="AD330" i="16"/>
  <c r="AD322" i="16"/>
  <c r="AD314" i="16"/>
  <c r="AD306" i="16"/>
  <c r="AD298" i="16"/>
  <c r="AD290" i="16"/>
  <c r="AD282" i="16"/>
  <c r="AD274" i="16"/>
  <c r="AD266" i="16"/>
  <c r="AD258" i="16"/>
  <c r="AD250" i="16"/>
  <c r="AD242" i="16"/>
  <c r="AD234" i="16"/>
  <c r="AD226" i="16"/>
  <c r="AD218" i="16"/>
  <c r="AD210" i="16"/>
  <c r="AD202" i="16"/>
  <c r="AD194" i="16"/>
  <c r="AD186" i="16"/>
  <c r="AD178" i="16"/>
  <c r="AD170" i="16"/>
  <c r="AD162" i="16"/>
  <c r="AD154" i="16"/>
  <c r="AD146" i="16"/>
  <c r="AD138" i="16"/>
  <c r="AD130" i="16"/>
  <c r="AD122" i="16"/>
  <c r="AD114" i="16"/>
  <c r="AD106" i="16"/>
  <c r="AD98" i="16"/>
  <c r="AD90" i="16"/>
  <c r="AD82" i="16"/>
  <c r="AD74" i="16"/>
  <c r="AD66" i="16"/>
  <c r="AD58" i="16"/>
  <c r="AD50" i="16"/>
  <c r="AD42" i="16"/>
  <c r="AD34" i="16"/>
  <c r="AD26" i="16"/>
  <c r="AD18" i="16"/>
  <c r="AD10" i="16"/>
  <c r="AE14" i="23"/>
  <c r="AE20" i="23"/>
  <c r="AE37" i="23"/>
  <c r="AE40" i="23"/>
  <c r="AE48" i="23"/>
  <c r="AE62" i="23"/>
  <c r="AE65" i="23"/>
  <c r="AE70" i="23"/>
  <c r="AE73" i="23"/>
  <c r="AE87" i="23"/>
  <c r="AE98" i="23"/>
  <c r="AE109" i="23"/>
  <c r="AE123" i="23"/>
  <c r="AE139" i="23"/>
  <c r="AE145" i="23"/>
  <c r="AE156" i="23"/>
  <c r="AE159" i="23"/>
  <c r="AE167" i="23"/>
  <c r="AE170" i="23"/>
  <c r="AE178" i="23"/>
  <c r="AE192" i="23"/>
  <c r="AE195" i="23"/>
  <c r="AE200" i="23"/>
  <c r="AE208" i="23"/>
  <c r="AE219" i="23"/>
  <c r="AE254" i="23"/>
  <c r="AE257" i="23"/>
  <c r="AE262" i="23"/>
  <c r="AE267" i="23"/>
  <c r="AE278" i="23"/>
  <c r="AE281" i="23"/>
  <c r="AE284" i="23"/>
  <c r="AE292" i="23"/>
  <c r="AE297" i="23"/>
  <c r="AE302" i="23"/>
  <c r="AE305" i="23"/>
  <c r="AE307" i="23"/>
  <c r="AE315" i="23"/>
  <c r="AE320" i="23"/>
  <c r="AE323" i="23"/>
  <c r="AE328" i="23"/>
  <c r="AE333" i="23"/>
  <c r="AB213" i="16"/>
  <c r="AB205" i="16"/>
  <c r="AB197" i="16"/>
  <c r="AB189" i="16"/>
  <c r="AB181" i="16"/>
  <c r="AB173" i="16"/>
  <c r="AB165" i="16"/>
  <c r="AB157" i="16"/>
  <c r="AB149" i="16"/>
  <c r="AB141" i="16"/>
  <c r="AB133" i="16"/>
  <c r="AB125" i="16"/>
  <c r="AB117" i="16"/>
  <c r="AB109" i="16"/>
  <c r="AB101" i="16"/>
  <c r="AB93" i="16"/>
  <c r="AB85" i="16"/>
  <c r="AB77" i="16"/>
  <c r="AB69" i="16"/>
  <c r="AB61" i="16"/>
  <c r="AB53" i="16"/>
  <c r="AB45" i="16"/>
  <c r="AB37" i="16"/>
  <c r="AB29" i="16"/>
  <c r="AB21" i="16"/>
  <c r="AB13" i="16"/>
  <c r="AC14" i="23"/>
  <c r="AC24" i="23"/>
  <c r="AC33" i="23"/>
  <c r="AC36" i="23"/>
  <c r="AC42" i="23"/>
  <c r="AC45" i="23"/>
  <c r="AC48" i="23"/>
  <c r="AC54" i="23"/>
  <c r="AC78" i="23"/>
  <c r="AC88" i="23"/>
  <c r="AC97" i="23"/>
  <c r="AC100" i="23"/>
  <c r="AC106" i="23"/>
  <c r="AC109" i="23"/>
  <c r="AC112" i="23"/>
  <c r="AC118" i="23"/>
  <c r="AC142" i="23"/>
  <c r="AC152" i="23"/>
  <c r="AC161" i="23"/>
  <c r="AC164" i="23"/>
  <c r="AC170" i="23"/>
  <c r="AC173" i="23"/>
  <c r="AC176" i="23"/>
  <c r="AC182" i="23"/>
  <c r="AC203" i="23"/>
  <c r="AC209" i="23"/>
  <c r="AC235" i="23"/>
  <c r="AC241" i="23"/>
  <c r="AC267" i="23"/>
  <c r="AC273" i="23"/>
  <c r="AC299" i="23"/>
  <c r="AC305" i="23"/>
  <c r="AC319" i="23"/>
  <c r="AC330" i="23"/>
  <c r="AC333" i="23"/>
  <c r="AB292" i="16"/>
  <c r="AB284" i="16"/>
  <c r="AB276" i="16"/>
  <c r="AB268" i="16"/>
  <c r="AB260" i="16"/>
  <c r="AB252" i="16"/>
  <c r="AB244" i="16"/>
  <c r="AB236" i="16"/>
  <c r="AB228" i="16"/>
  <c r="AB220" i="16"/>
  <c r="AB212" i="16"/>
  <c r="AB204" i="16"/>
  <c r="AB196" i="16"/>
  <c r="AB188" i="16"/>
  <c r="AB180" i="16"/>
  <c r="AB172" i="16"/>
  <c r="AB164" i="16"/>
  <c r="AB156" i="16"/>
  <c r="AB148" i="16"/>
  <c r="AB140" i="16"/>
  <c r="AB132" i="16"/>
  <c r="AB124" i="16"/>
  <c r="AB116" i="16"/>
  <c r="AB108" i="16"/>
  <c r="AB100" i="16"/>
  <c r="AB92" i="16"/>
  <c r="AB84" i="16"/>
  <c r="AB76" i="16"/>
  <c r="AB68" i="16"/>
  <c r="AB60" i="16"/>
  <c r="AB52" i="16"/>
  <c r="AB44" i="16"/>
  <c r="AB36" i="16"/>
  <c r="AB28" i="16"/>
  <c r="AB20" i="16"/>
  <c r="AB12" i="16"/>
  <c r="AC8" i="23"/>
  <c r="AC11" i="23"/>
  <c r="AC20" i="23"/>
  <c r="AC26" i="23"/>
  <c r="AC57" i="23"/>
  <c r="AC60" i="23"/>
  <c r="AC63" i="23"/>
  <c r="AC66" i="23"/>
  <c r="AC69" i="23"/>
  <c r="AC72" i="23"/>
  <c r="AC75" i="23"/>
  <c r="AC84" i="23"/>
  <c r="AC90" i="23"/>
  <c r="AC121" i="23"/>
  <c r="AC124" i="23"/>
  <c r="AC127" i="23"/>
  <c r="AC130" i="23"/>
  <c r="AC133" i="23"/>
  <c r="AC136" i="23"/>
  <c r="AC139" i="23"/>
  <c r="AC148" i="23"/>
  <c r="AC154" i="23"/>
  <c r="AC185" i="23"/>
  <c r="AC188" i="23"/>
  <c r="AC191" i="23"/>
  <c r="AC194" i="23"/>
  <c r="AC197" i="23"/>
  <c r="AC200" i="23"/>
  <c r="AC211" i="23"/>
  <c r="AC223" i="23"/>
  <c r="AC226" i="23"/>
  <c r="AC229" i="23"/>
  <c r="AC232" i="23"/>
  <c r="AC243" i="23"/>
  <c r="AC255" i="23"/>
  <c r="AC258" i="23"/>
  <c r="AC261" i="23"/>
  <c r="AC264" i="23"/>
  <c r="AC275" i="23"/>
  <c r="AC287" i="23"/>
  <c r="AC290" i="23"/>
  <c r="AC293" i="23"/>
  <c r="AC296" i="23"/>
  <c r="AC307" i="23"/>
  <c r="AC310" i="23"/>
  <c r="AC313" i="23"/>
  <c r="AC316" i="23"/>
  <c r="AC327" i="23"/>
  <c r="AA201" i="23"/>
  <c r="AA208" i="23"/>
  <c r="AA215" i="23"/>
  <c r="AA222" i="23"/>
  <c r="AA233" i="23"/>
  <c r="AA240" i="23"/>
  <c r="AA247" i="23"/>
  <c r="AA254" i="23"/>
  <c r="AA265" i="23"/>
  <c r="AA272" i="23"/>
  <c r="AA279" i="23"/>
  <c r="AA286" i="23"/>
  <c r="AA297" i="23"/>
  <c r="AA304" i="23"/>
  <c r="AA311" i="23"/>
  <c r="AA318" i="23"/>
  <c r="AA329" i="23"/>
  <c r="AA336" i="23"/>
  <c r="Z332" i="16"/>
  <c r="Z324" i="16"/>
  <c r="Z316" i="16"/>
  <c r="Z308" i="16"/>
  <c r="Z300" i="16"/>
  <c r="Z292" i="16"/>
  <c r="Z284" i="16"/>
  <c r="Z276" i="16"/>
  <c r="Z268" i="16"/>
  <c r="Z260" i="16"/>
  <c r="Z252" i="16"/>
  <c r="Z244" i="16"/>
  <c r="Z236" i="16"/>
  <c r="Z228" i="16"/>
  <c r="Z220" i="16"/>
  <c r="Z212" i="16"/>
  <c r="Z204" i="16"/>
  <c r="Z196" i="16"/>
  <c r="Z188" i="16"/>
  <c r="Z180" i="16"/>
  <c r="Z172" i="16"/>
  <c r="Z164" i="16"/>
  <c r="Z156" i="16"/>
  <c r="Z148" i="16"/>
  <c r="Z140" i="16"/>
  <c r="Z132" i="16"/>
  <c r="Z124" i="16"/>
  <c r="Z116" i="16"/>
  <c r="Z108" i="16"/>
  <c r="Z100" i="16"/>
  <c r="Z92" i="16"/>
  <c r="Z84" i="16"/>
  <c r="Z76" i="16"/>
  <c r="Z68" i="16"/>
  <c r="Z60" i="16"/>
  <c r="Z52" i="16"/>
  <c r="Z44" i="16"/>
  <c r="Z36" i="16"/>
  <c r="Z28" i="16"/>
  <c r="Z20" i="16"/>
  <c r="Z12" i="16"/>
  <c r="AA12" i="23"/>
  <c r="AA19" i="23"/>
  <c r="AA26" i="23"/>
  <c r="AA37" i="23"/>
  <c r="AA44" i="23"/>
  <c r="AA51" i="23"/>
  <c r="AA58" i="23"/>
  <c r="AA69" i="23"/>
  <c r="AA76" i="23"/>
  <c r="AA83" i="23"/>
  <c r="AA90" i="23"/>
  <c r="AA101" i="23"/>
  <c r="AA108" i="23"/>
  <c r="AA115" i="23"/>
  <c r="AA122" i="23"/>
  <c r="AA133" i="23"/>
  <c r="AA140" i="23"/>
  <c r="AA147" i="23"/>
  <c r="AA154" i="23"/>
  <c r="AA165" i="23"/>
  <c r="AA172" i="23"/>
  <c r="AA179" i="23"/>
  <c r="AA186" i="23"/>
  <c r="AA197" i="23"/>
  <c r="AA204" i="23"/>
  <c r="AA211" i="23"/>
  <c r="AA218" i="23"/>
  <c r="AA229" i="23"/>
  <c r="AA236" i="23"/>
  <c r="AA243" i="23"/>
  <c r="AA250" i="23"/>
  <c r="AA261" i="23"/>
  <c r="AA268" i="23"/>
  <c r="AA275" i="23"/>
  <c r="AA282" i="23"/>
  <c r="AA293" i="23"/>
  <c r="AA300" i="23"/>
  <c r="AA307" i="23"/>
  <c r="AA314" i="23"/>
  <c r="AA325" i="23"/>
  <c r="AA332" i="23"/>
  <c r="AA310" i="23"/>
  <c r="AA335" i="23"/>
  <c r="Z7" i="16"/>
  <c r="Z330" i="16"/>
  <c r="Z322" i="16"/>
  <c r="Z314" i="16"/>
  <c r="Z306" i="16"/>
  <c r="Z298" i="16"/>
  <c r="Z290" i="16"/>
  <c r="Z282" i="16"/>
  <c r="Z274" i="16"/>
  <c r="Z266" i="16"/>
  <c r="Z258" i="16"/>
  <c r="Z250" i="16"/>
  <c r="Z242" i="16"/>
  <c r="Z234" i="16"/>
  <c r="Z226" i="16"/>
  <c r="Z218" i="16"/>
  <c r="Z210" i="16"/>
  <c r="Z202" i="16"/>
  <c r="Z194" i="16"/>
  <c r="Z186" i="16"/>
  <c r="Z178" i="16"/>
  <c r="Z170" i="16"/>
  <c r="Z162" i="16"/>
  <c r="Z154" i="16"/>
  <c r="Z146" i="16"/>
  <c r="Z138" i="16"/>
  <c r="Z130" i="16"/>
  <c r="Z122" i="16"/>
  <c r="Z114" i="16"/>
  <c r="Z106" i="16"/>
  <c r="Z98" i="16"/>
  <c r="Z90" i="16"/>
  <c r="Z82" i="16"/>
  <c r="Z74" i="16"/>
  <c r="Z66" i="16"/>
  <c r="Z58" i="16"/>
  <c r="Z50" i="16"/>
  <c r="Z42" i="16"/>
  <c r="Z34" i="16"/>
  <c r="Z26" i="16"/>
  <c r="Z18" i="16"/>
  <c r="Z10" i="16"/>
  <c r="AA11" i="23"/>
  <c r="AA18" i="23"/>
  <c r="AA29" i="23"/>
  <c r="AA36" i="23"/>
  <c r="AA43" i="23"/>
  <c r="AA50" i="23"/>
  <c r="AA61" i="23"/>
  <c r="AA68" i="23"/>
  <c r="AA75" i="23"/>
  <c r="AA82" i="23"/>
  <c r="AA93" i="23"/>
  <c r="AA100" i="23"/>
  <c r="AA107" i="23"/>
  <c r="AA114" i="23"/>
  <c r="AA125" i="23"/>
  <c r="AA132" i="23"/>
  <c r="AA139" i="23"/>
  <c r="AA146" i="23"/>
  <c r="AA157" i="23"/>
  <c r="AA164" i="23"/>
  <c r="AA171" i="23"/>
  <c r="AA178" i="23"/>
  <c r="AA189" i="23"/>
  <c r="AA196" i="23"/>
  <c r="AA203" i="23"/>
  <c r="AA210" i="23"/>
  <c r="AA221" i="23"/>
  <c r="AA228" i="23"/>
  <c r="AA235" i="23"/>
  <c r="AA242" i="23"/>
  <c r="AA253" i="23"/>
  <c r="AA260" i="23"/>
  <c r="AA267" i="23"/>
  <c r="AA274" i="23"/>
  <c r="AA285" i="23"/>
  <c r="AA292" i="23"/>
  <c r="AA299" i="23"/>
  <c r="AA306" i="23"/>
  <c r="AA317" i="23"/>
  <c r="AA324" i="23"/>
  <c r="AA331" i="23"/>
  <c r="AA321" i="23"/>
  <c r="AA328" i="23"/>
  <c r="Z337" i="16"/>
  <c r="Z329" i="16"/>
  <c r="Z321" i="16"/>
  <c r="Z313" i="16"/>
  <c r="Z305" i="16"/>
  <c r="Z297" i="16"/>
  <c r="Z289" i="16"/>
  <c r="Z281" i="16"/>
  <c r="Z273" i="16"/>
  <c r="Z265" i="16"/>
  <c r="Z257" i="16"/>
  <c r="Z249" i="16"/>
  <c r="Z241" i="16"/>
  <c r="Z233" i="16"/>
  <c r="Z225" i="16"/>
  <c r="Z217" i="16"/>
  <c r="Z209" i="16"/>
  <c r="Z201" i="16"/>
  <c r="Z193" i="16"/>
  <c r="Z185" i="16"/>
  <c r="Z177" i="16"/>
  <c r="Z169" i="16"/>
  <c r="Z161" i="16"/>
  <c r="Z153" i="16"/>
  <c r="Z145" i="16"/>
  <c r="Z137" i="16"/>
  <c r="Z129" i="16"/>
  <c r="Z121" i="16"/>
  <c r="Z113" i="16"/>
  <c r="Z105" i="16"/>
  <c r="Z97" i="16"/>
  <c r="Z89" i="16"/>
  <c r="Z81" i="16"/>
  <c r="Z73" i="16"/>
  <c r="Z65" i="16"/>
  <c r="Z57" i="16"/>
  <c r="Z49" i="16"/>
  <c r="Z41" i="16"/>
  <c r="Z33" i="16"/>
  <c r="Z25" i="16"/>
  <c r="Z17" i="16"/>
  <c r="Z9" i="16"/>
  <c r="AA14" i="23"/>
  <c r="AA25" i="23"/>
  <c r="AA32" i="23"/>
  <c r="AA39" i="23"/>
  <c r="AA46" i="23"/>
  <c r="AA57" i="23"/>
  <c r="AA64" i="23"/>
  <c r="AA71" i="23"/>
  <c r="AA78" i="23"/>
  <c r="AA89" i="23"/>
  <c r="AA96" i="23"/>
  <c r="AA103" i="23"/>
  <c r="AA110" i="23"/>
  <c r="AA121" i="23"/>
  <c r="AA128" i="23"/>
  <c r="AA135" i="23"/>
  <c r="AA142" i="23"/>
  <c r="AA153" i="23"/>
  <c r="AA160" i="23"/>
  <c r="AA167" i="23"/>
  <c r="AA174" i="23"/>
  <c r="AA185" i="23"/>
  <c r="AA192" i="23"/>
  <c r="AA199" i="23"/>
  <c r="AA206" i="23"/>
  <c r="AA217" i="23"/>
  <c r="AA224" i="23"/>
  <c r="AA231" i="23"/>
  <c r="AA238" i="23"/>
  <c r="AA249" i="23"/>
  <c r="AA256" i="23"/>
  <c r="AA263" i="23"/>
  <c r="AA270" i="23"/>
  <c r="AA281" i="23"/>
  <c r="AA288" i="23"/>
  <c r="AA295" i="23"/>
  <c r="AA302" i="23"/>
  <c r="AA313" i="23"/>
  <c r="AA320" i="23"/>
  <c r="AA327" i="23"/>
  <c r="U10" i="23"/>
  <c r="U14" i="23"/>
  <c r="U18" i="23"/>
  <c r="U22" i="23"/>
  <c r="U26" i="23"/>
  <c r="U30" i="23"/>
  <c r="U34" i="23"/>
  <c r="U38" i="23"/>
  <c r="U42" i="23"/>
  <c r="U46" i="23"/>
  <c r="U50" i="23"/>
  <c r="U54" i="23"/>
  <c r="U58" i="23"/>
  <c r="U62" i="23"/>
  <c r="U66" i="23"/>
  <c r="U70" i="23"/>
  <c r="U74" i="23"/>
  <c r="U78" i="23"/>
  <c r="U82" i="23"/>
  <c r="U86" i="23"/>
  <c r="U90" i="23"/>
  <c r="U94" i="23"/>
  <c r="U98" i="23"/>
  <c r="U102" i="23"/>
  <c r="U106" i="23"/>
  <c r="U110" i="23"/>
  <c r="U114" i="23"/>
  <c r="U118" i="23"/>
  <c r="U122" i="23"/>
  <c r="U126" i="23"/>
  <c r="U130" i="23"/>
  <c r="U134" i="23"/>
  <c r="U138" i="23"/>
  <c r="U142" i="23"/>
  <c r="U146" i="23"/>
  <c r="U150" i="23"/>
  <c r="U154" i="23"/>
  <c r="U158" i="23"/>
  <c r="U162" i="23"/>
  <c r="U166" i="23"/>
  <c r="U170" i="23"/>
  <c r="U174" i="23"/>
  <c r="U178" i="23"/>
  <c r="U182" i="23"/>
  <c r="U186" i="23"/>
  <c r="U190" i="23"/>
  <c r="U194" i="23"/>
  <c r="U198" i="23"/>
  <c r="U202" i="23"/>
  <c r="U206" i="23"/>
  <c r="U210" i="23"/>
  <c r="U214" i="23"/>
  <c r="U218" i="23"/>
  <c r="U222" i="23"/>
  <c r="U226" i="23"/>
  <c r="U230" i="23"/>
  <c r="U234" i="23"/>
  <c r="U238" i="23"/>
  <c r="U242" i="23"/>
  <c r="U246" i="23"/>
  <c r="U250" i="23"/>
  <c r="U254" i="23"/>
  <c r="U258" i="23"/>
  <c r="U262" i="23"/>
  <c r="U266" i="23"/>
  <c r="U270" i="23"/>
  <c r="U274" i="23"/>
  <c r="U278" i="23"/>
  <c r="U282" i="23"/>
  <c r="U286" i="23"/>
  <c r="U290" i="23"/>
  <c r="U294" i="23"/>
  <c r="U298" i="23"/>
  <c r="U302" i="23"/>
  <c r="U306" i="23"/>
  <c r="U310" i="23"/>
  <c r="U314" i="23"/>
  <c r="U318" i="23"/>
  <c r="U322" i="23"/>
  <c r="U326" i="23"/>
  <c r="U330" i="23"/>
  <c r="U4" i="16"/>
  <c r="U25" i="4"/>
  <c r="U24" i="5"/>
  <c r="U21" i="9"/>
  <c r="U62" i="9"/>
  <c r="U119" i="9"/>
  <c r="U161" i="9"/>
  <c r="U5" i="22"/>
  <c r="U329" i="16"/>
  <c r="U319" i="16"/>
  <c r="U307" i="16"/>
  <c r="U295" i="16"/>
  <c r="U284" i="16"/>
  <c r="U270" i="16"/>
  <c r="U256" i="16"/>
  <c r="U244" i="16"/>
  <c r="U228" i="16"/>
  <c r="U214" i="16"/>
  <c r="U200" i="16"/>
  <c r="U184" i="16"/>
  <c r="U172" i="16"/>
  <c r="U158" i="16"/>
  <c r="U142" i="16"/>
  <c r="U128" i="16"/>
  <c r="U116" i="16"/>
  <c r="U100" i="16"/>
  <c r="U84" i="16"/>
  <c r="U66" i="16"/>
  <c r="U44" i="16"/>
  <c r="U28" i="16"/>
  <c r="U10" i="16"/>
  <c r="U53" i="2"/>
  <c r="U48" i="2"/>
  <c r="U36" i="2"/>
  <c r="U5" i="20"/>
  <c r="U29" i="20"/>
  <c r="U15" i="3"/>
  <c r="U9" i="3"/>
  <c r="U121" i="4"/>
  <c r="U64" i="4"/>
  <c r="U16" i="4"/>
  <c r="U21" i="4"/>
  <c r="U52" i="4"/>
  <c r="U117" i="4"/>
  <c r="U8" i="5"/>
  <c r="U19" i="5"/>
  <c r="U26" i="9"/>
  <c r="U222" i="9"/>
  <c r="U81" i="9"/>
  <c r="U123" i="9"/>
  <c r="U175" i="9"/>
  <c r="U6" i="21"/>
  <c r="U88" i="4"/>
  <c r="U33" i="5"/>
  <c r="U72" i="9"/>
  <c r="U211" i="9"/>
  <c r="U328" i="16"/>
  <c r="U316" i="16"/>
  <c r="U305" i="16"/>
  <c r="U294" i="16"/>
  <c r="U280" i="16"/>
  <c r="U269" i="16"/>
  <c r="U255" i="16"/>
  <c r="U239" i="16"/>
  <c r="U225" i="16"/>
  <c r="U213" i="16"/>
  <c r="U197" i="16"/>
  <c r="U183" i="16"/>
  <c r="U169" i="16"/>
  <c r="U153" i="16"/>
  <c r="U141" i="16"/>
  <c r="U127" i="16"/>
  <c r="U111" i="16"/>
  <c r="U97" i="16"/>
  <c r="U83" i="16"/>
  <c r="U63" i="16"/>
  <c r="U43" i="16"/>
  <c r="U25" i="16"/>
  <c r="U14" i="2"/>
  <c r="U54" i="2"/>
  <c r="U20" i="2"/>
  <c r="U26" i="2"/>
  <c r="U8" i="20"/>
  <c r="U30" i="20"/>
  <c r="U5" i="3"/>
  <c r="U46" i="3"/>
  <c r="U36" i="4"/>
  <c r="U128" i="4"/>
  <c r="U133" i="4"/>
  <c r="U48" i="4"/>
  <c r="U27" i="4"/>
  <c r="U34" i="4"/>
  <c r="U29" i="5"/>
  <c r="U52" i="5"/>
  <c r="U38" i="9"/>
  <c r="U223" i="9"/>
  <c r="U87" i="9"/>
  <c r="U130" i="9"/>
  <c r="U176" i="9"/>
  <c r="U8" i="21"/>
  <c r="U31" i="4"/>
  <c r="U7" i="5"/>
  <c r="U11" i="5"/>
  <c r="U34" i="5"/>
  <c r="U37" i="9"/>
  <c r="U217" i="9"/>
  <c r="U67" i="9"/>
  <c r="U113" i="9"/>
  <c r="U153" i="9"/>
  <c r="U188" i="9"/>
  <c r="U22" i="21"/>
  <c r="U326" i="16"/>
  <c r="U318" i="16"/>
  <c r="U310" i="16"/>
  <c r="U301" i="16"/>
  <c r="U292" i="16"/>
  <c r="U283" i="16"/>
  <c r="U273" i="16"/>
  <c r="U263" i="16"/>
  <c r="U253" i="16"/>
  <c r="U241" i="16"/>
  <c r="U231" i="16"/>
  <c r="U221" i="16"/>
  <c r="U209" i="16"/>
  <c r="U199" i="16"/>
  <c r="U189" i="16"/>
  <c r="U177" i="16"/>
  <c r="U167" i="16"/>
  <c r="U157" i="16"/>
  <c r="U145" i="16"/>
  <c r="U135" i="16"/>
  <c r="U125" i="16"/>
  <c r="U113" i="16"/>
  <c r="U103" i="16"/>
  <c r="U93" i="16"/>
  <c r="U79" i="16"/>
  <c r="U65" i="16"/>
  <c r="U51" i="16"/>
  <c r="U35" i="16"/>
  <c r="U23" i="16"/>
  <c r="U9" i="16"/>
  <c r="U16" i="2"/>
  <c r="U62" i="2"/>
  <c r="U66" i="2"/>
  <c r="U56" i="2"/>
  <c r="U76" i="2"/>
  <c r="U16" i="20"/>
  <c r="U38" i="20"/>
  <c r="U50" i="3"/>
  <c r="U8" i="3"/>
  <c r="U31" i="3"/>
  <c r="U123" i="4"/>
  <c r="U9" i="4"/>
  <c r="U43" i="4"/>
  <c r="U136" i="4"/>
  <c r="U49" i="4"/>
  <c r="U26" i="4"/>
  <c r="U86" i="4"/>
  <c r="U56" i="4"/>
  <c r="U55" i="5"/>
  <c r="U15" i="5"/>
  <c r="U5" i="9"/>
  <c r="U33" i="9"/>
  <c r="U53" i="9"/>
  <c r="U229" i="9"/>
  <c r="U75" i="9"/>
  <c r="U103" i="9"/>
  <c r="U134" i="9"/>
  <c r="U169" i="9"/>
  <c r="U196" i="9"/>
  <c r="U18" i="21"/>
  <c r="U11" i="22"/>
  <c r="U334" i="16"/>
  <c r="U333" i="16"/>
  <c r="U325" i="16"/>
  <c r="U317" i="16"/>
  <c r="U309" i="16"/>
  <c r="U300" i="16"/>
  <c r="U291" i="16"/>
  <c r="U281" i="16"/>
  <c r="U272" i="16"/>
  <c r="U262" i="16"/>
  <c r="U252" i="16"/>
  <c r="U240" i="16"/>
  <c r="U230" i="16"/>
  <c r="U220" i="16"/>
  <c r="U208" i="16"/>
  <c r="U198" i="16"/>
  <c r="U188" i="16"/>
  <c r="U176" i="16"/>
  <c r="U166" i="16"/>
  <c r="U156" i="16"/>
  <c r="U144" i="16"/>
  <c r="U134" i="16"/>
  <c r="U124" i="16"/>
  <c r="U112" i="16"/>
  <c r="U102" i="16"/>
  <c r="U92" i="16"/>
  <c r="U76" i="16"/>
  <c r="U64" i="16"/>
  <c r="U50" i="16"/>
  <c r="U34" i="16"/>
  <c r="U20" i="16"/>
  <c r="U8" i="16"/>
  <c r="U17" i="2"/>
  <c r="U55" i="2"/>
  <c r="U21" i="2"/>
  <c r="U25" i="2"/>
  <c r="U11" i="2"/>
  <c r="U17" i="20"/>
  <c r="U39" i="20"/>
  <c r="U21" i="3"/>
  <c r="U41" i="3"/>
  <c r="U12" i="3"/>
  <c r="U60" i="4"/>
  <c r="U40" i="4"/>
  <c r="U14" i="4"/>
  <c r="U18" i="4"/>
  <c r="U79" i="4"/>
  <c r="U143" i="4"/>
  <c r="U113" i="4"/>
  <c r="U37" i="5"/>
  <c r="U28" i="5"/>
  <c r="U49" i="5"/>
  <c r="U6" i="9"/>
  <c r="U36" i="9"/>
  <c r="U60" i="9"/>
  <c r="U230" i="9"/>
  <c r="U78" i="9"/>
  <c r="U112" i="9"/>
  <c r="U139" i="9"/>
  <c r="U172" i="9"/>
  <c r="U200" i="9"/>
  <c r="U21" i="21"/>
  <c r="U245" i="9"/>
  <c r="U82" i="9"/>
  <c r="U102" i="9"/>
  <c r="U120" i="9"/>
  <c r="U142" i="9"/>
  <c r="U158" i="9"/>
  <c r="U177" i="9"/>
  <c r="U199" i="9"/>
  <c r="U7" i="21"/>
  <c r="U23" i="21"/>
  <c r="U8" i="22"/>
  <c r="U267" i="16"/>
  <c r="U259" i="16"/>
  <c r="U251" i="16"/>
  <c r="U243" i="16"/>
  <c r="U235" i="16"/>
  <c r="U227" i="16"/>
  <c r="U219" i="16"/>
  <c r="U211" i="16"/>
  <c r="U203" i="16"/>
  <c r="U195" i="16"/>
  <c r="U187" i="16"/>
  <c r="U179" i="16"/>
  <c r="U171" i="16"/>
  <c r="U163" i="16"/>
  <c r="U155" i="16"/>
  <c r="U147" i="16"/>
  <c r="U139" i="16"/>
  <c r="U131" i="16"/>
  <c r="U123" i="16"/>
  <c r="U115" i="16"/>
  <c r="U107" i="16"/>
  <c r="U99" i="16"/>
  <c r="U91" i="16"/>
  <c r="U81" i="16"/>
  <c r="U71" i="16"/>
  <c r="U59" i="16"/>
  <c r="U49" i="16"/>
  <c r="U39" i="16"/>
  <c r="U27" i="16"/>
  <c r="U17" i="16"/>
  <c r="U7" i="16"/>
  <c r="U43" i="2"/>
  <c r="U33" i="2"/>
  <c r="U46" i="2"/>
  <c r="U13" i="2"/>
  <c r="U49" i="2"/>
  <c r="U51" i="2"/>
  <c r="U6" i="20"/>
  <c r="U20" i="20"/>
  <c r="U32" i="20"/>
  <c r="U33" i="3"/>
  <c r="U37" i="3"/>
  <c r="U28" i="3"/>
  <c r="U20" i="3"/>
  <c r="U35" i="4"/>
  <c r="U38" i="4"/>
  <c r="U127" i="4"/>
  <c r="U42" i="4"/>
  <c r="U134" i="4"/>
  <c r="U75" i="4"/>
  <c r="U23" i="4"/>
  <c r="U53" i="4"/>
  <c r="U111" i="4"/>
  <c r="U115" i="4"/>
  <c r="U4" i="5"/>
  <c r="U27" i="5"/>
  <c r="U46" i="5"/>
  <c r="U58" i="5"/>
  <c r="U9" i="9"/>
  <c r="U27" i="9"/>
  <c r="U49" i="9"/>
  <c r="U65" i="9"/>
  <c r="U231" i="9"/>
  <c r="U70" i="9"/>
  <c r="U88" i="9"/>
  <c r="U104" i="9"/>
  <c r="U126" i="9"/>
  <c r="U144" i="9"/>
  <c r="U162" i="9"/>
  <c r="U185" i="9"/>
  <c r="U201" i="9"/>
  <c r="U9" i="21"/>
  <c r="U31" i="21"/>
  <c r="U12" i="22"/>
  <c r="U306" i="16"/>
  <c r="U298" i="16"/>
  <c r="U290" i="16"/>
  <c r="U282" i="16"/>
  <c r="U274" i="16"/>
  <c r="U266" i="16"/>
  <c r="U258" i="16"/>
  <c r="U250" i="16"/>
  <c r="U242" i="16"/>
  <c r="U234" i="16"/>
  <c r="U226" i="16"/>
  <c r="U218" i="16"/>
  <c r="U210" i="16"/>
  <c r="U202" i="16"/>
  <c r="U194" i="16"/>
  <c r="U186" i="16"/>
  <c r="U178" i="16"/>
  <c r="U170" i="16"/>
  <c r="U162" i="16"/>
  <c r="U154" i="16"/>
  <c r="U146" i="16"/>
  <c r="U138" i="16"/>
  <c r="U130" i="16"/>
  <c r="U122" i="16"/>
  <c r="U114" i="16"/>
  <c r="U106" i="16"/>
  <c r="U98" i="16"/>
  <c r="U90" i="16"/>
  <c r="U80" i="16"/>
  <c r="U68" i="16"/>
  <c r="U58" i="16"/>
  <c r="U48" i="16"/>
  <c r="U36" i="16"/>
  <c r="U26" i="16"/>
  <c r="U16" i="16"/>
  <c r="U57" i="2"/>
  <c r="U15" i="2"/>
  <c r="U6" i="2"/>
  <c r="U29" i="2"/>
  <c r="U22" i="2"/>
  <c r="U37" i="2"/>
  <c r="U10" i="2"/>
  <c r="U7" i="20"/>
  <c r="U21" i="20"/>
  <c r="U37" i="20"/>
  <c r="U14" i="3"/>
  <c r="U38" i="3"/>
  <c r="U44" i="3"/>
  <c r="U11" i="3"/>
  <c r="U122" i="4"/>
  <c r="U8" i="4"/>
  <c r="U11" i="4"/>
  <c r="U69" i="4"/>
  <c r="U135" i="4"/>
  <c r="U139" i="4"/>
  <c r="U104" i="4"/>
  <c r="U142" i="4"/>
  <c r="U146" i="4"/>
  <c r="U54" i="4"/>
  <c r="U5" i="5"/>
  <c r="U41" i="5"/>
  <c r="U47" i="5"/>
  <c r="U51" i="5"/>
  <c r="U10" i="9"/>
  <c r="U30" i="9"/>
  <c r="U50" i="9"/>
  <c r="U216" i="9"/>
  <c r="U238" i="9"/>
  <c r="U71" i="9"/>
  <c r="U89" i="9"/>
  <c r="U111" i="9"/>
  <c r="U129" i="9"/>
  <c r="U145" i="9"/>
  <c r="U168" i="9"/>
  <c r="U186" i="9"/>
  <c r="U204" i="9"/>
  <c r="U16" i="21"/>
  <c r="U32" i="21"/>
  <c r="U13" i="22"/>
  <c r="U60" i="5"/>
  <c r="U14" i="9"/>
  <c r="U28" i="9"/>
  <c r="U42" i="9"/>
  <c r="U58" i="9"/>
  <c r="U218" i="9"/>
  <c r="U232" i="9"/>
  <c r="U248" i="9"/>
  <c r="U79" i="9"/>
  <c r="U91" i="9"/>
  <c r="U107" i="9"/>
  <c r="U121" i="9"/>
  <c r="U135" i="9"/>
  <c r="U151" i="9"/>
  <c r="U163" i="9"/>
  <c r="U178" i="9"/>
  <c r="U194" i="9"/>
  <c r="U208" i="9"/>
  <c r="U10" i="21"/>
  <c r="U26" i="21"/>
  <c r="U40" i="21"/>
  <c r="U61" i="5"/>
  <c r="U17" i="9"/>
  <c r="U29" i="9"/>
  <c r="U43" i="9"/>
  <c r="U59" i="9"/>
  <c r="U221" i="9"/>
  <c r="U233" i="9"/>
  <c r="U66" i="9"/>
  <c r="U80" i="9"/>
  <c r="U94" i="9"/>
  <c r="U110" i="9"/>
  <c r="U122" i="9"/>
  <c r="U136" i="9"/>
  <c r="U152" i="9"/>
  <c r="U167" i="9"/>
  <c r="U179" i="9"/>
  <c r="U195" i="9"/>
  <c r="U209" i="9"/>
  <c r="U13" i="21"/>
  <c r="U29" i="21"/>
  <c r="U4" i="22"/>
  <c r="U86" i="16"/>
  <c r="U78" i="16"/>
  <c r="U70" i="16"/>
  <c r="U62" i="16"/>
  <c r="U54" i="16"/>
  <c r="U46" i="16"/>
  <c r="U38" i="16"/>
  <c r="U30" i="16"/>
  <c r="U22" i="16"/>
  <c r="U14" i="16"/>
  <c r="U6" i="16"/>
  <c r="U59" i="2"/>
  <c r="U18" i="2"/>
  <c r="U19" i="2"/>
  <c r="U64" i="2"/>
  <c r="U67" i="2"/>
  <c r="U71" i="2"/>
  <c r="U24" i="2"/>
  <c r="U74" i="2"/>
  <c r="U28" i="2"/>
  <c r="U13" i="20"/>
  <c r="U23" i="20"/>
  <c r="U33" i="20"/>
  <c r="U45" i="20"/>
  <c r="U36" i="3"/>
  <c r="U24" i="3"/>
  <c r="U51" i="3"/>
  <c r="U19" i="3"/>
  <c r="U56" i="3"/>
  <c r="U59" i="4"/>
  <c r="U94" i="4"/>
  <c r="U96" i="4"/>
  <c r="U97" i="4"/>
  <c r="U70" i="4"/>
  <c r="U72" i="4"/>
  <c r="U19" i="4"/>
  <c r="U103" i="4"/>
  <c r="U50" i="4"/>
  <c r="U108" i="4"/>
  <c r="U84" i="4"/>
  <c r="U32" i="4"/>
  <c r="U89" i="4"/>
  <c r="U21" i="5"/>
  <c r="U39" i="5"/>
  <c r="U56" i="5"/>
  <c r="U32" i="5"/>
  <c r="U50" i="5"/>
  <c r="U36" i="5"/>
  <c r="U12" i="9"/>
  <c r="U22" i="9"/>
  <c r="U34" i="9"/>
  <c r="U44" i="9"/>
  <c r="U54" i="9"/>
  <c r="U214" i="9"/>
  <c r="U224" i="9"/>
  <c r="U234" i="9"/>
  <c r="U246" i="9"/>
  <c r="U73" i="9"/>
  <c r="U83" i="9"/>
  <c r="U95" i="9"/>
  <c r="U105" i="9"/>
  <c r="U115" i="9"/>
  <c r="U127" i="9"/>
  <c r="U137" i="9"/>
  <c r="U147" i="9"/>
  <c r="U159" i="9"/>
  <c r="U170" i="9"/>
  <c r="U180" i="9"/>
  <c r="U192" i="9"/>
  <c r="U202" i="9"/>
  <c r="U212" i="9"/>
  <c r="U14" i="21"/>
  <c r="U24" i="21"/>
  <c r="U34" i="21"/>
  <c r="U9" i="22"/>
  <c r="U85" i="16"/>
  <c r="U77" i="16"/>
  <c r="U69" i="16"/>
  <c r="U61" i="16"/>
  <c r="U53" i="16"/>
  <c r="U45" i="16"/>
  <c r="U37" i="16"/>
  <c r="U29" i="16"/>
  <c r="U21" i="16"/>
  <c r="U13" i="16"/>
  <c r="U5" i="16"/>
  <c r="U31" i="2"/>
  <c r="U44" i="2"/>
  <c r="U45" i="2"/>
  <c r="U65" i="2"/>
  <c r="U68" i="2"/>
  <c r="U9" i="2"/>
  <c r="U38" i="2"/>
  <c r="U40" i="2"/>
  <c r="U4" i="20"/>
  <c r="U14" i="20"/>
  <c r="U24" i="20"/>
  <c r="U36" i="20"/>
  <c r="U46" i="20"/>
  <c r="U4" i="3"/>
  <c r="U25" i="3"/>
  <c r="U43" i="3"/>
  <c r="U52" i="3"/>
  <c r="U120" i="4"/>
  <c r="U5" i="4"/>
  <c r="U62" i="4"/>
  <c r="U10" i="4"/>
  <c r="U131" i="4"/>
  <c r="U132" i="4"/>
  <c r="U101" i="4"/>
  <c r="U47" i="4"/>
  <c r="U140" i="4"/>
  <c r="U51" i="4"/>
  <c r="U109" i="4"/>
  <c r="U29" i="4"/>
  <c r="U33" i="4"/>
  <c r="U55" i="4"/>
  <c r="U22" i="5"/>
  <c r="U40" i="5"/>
  <c r="U42" i="5"/>
  <c r="U13" i="5"/>
  <c r="U59" i="5"/>
  <c r="U20" i="5"/>
  <c r="U13" i="9"/>
  <c r="U25" i="9"/>
  <c r="U35" i="9"/>
  <c r="U45" i="9"/>
  <c r="U57" i="9"/>
  <c r="U215" i="9"/>
  <c r="U225" i="9"/>
  <c r="U237" i="9"/>
  <c r="U247" i="9"/>
  <c r="U74" i="9"/>
  <c r="U86" i="9"/>
  <c r="U96" i="9"/>
  <c r="U106" i="9"/>
  <c r="U118" i="9"/>
  <c r="U128" i="9"/>
  <c r="U138" i="9"/>
  <c r="U150" i="9"/>
  <c r="U160" i="9"/>
  <c r="U171" i="9"/>
  <c r="U183" i="9"/>
  <c r="U193" i="9"/>
  <c r="U203" i="9"/>
  <c r="U5" i="21"/>
  <c r="U15" i="21"/>
  <c r="U25" i="21"/>
  <c r="U37" i="21"/>
  <c r="U10" i="22"/>
  <c r="U52" i="2"/>
  <c r="U10" i="20"/>
  <c r="U18" i="20"/>
  <c r="U26" i="20"/>
  <c r="U34" i="20"/>
  <c r="U42" i="20"/>
  <c r="U34" i="3"/>
  <c r="U22" i="3"/>
  <c r="U6" i="3"/>
  <c r="U27" i="3"/>
  <c r="U29" i="3"/>
  <c r="U53" i="3"/>
  <c r="U13" i="3"/>
  <c r="U58" i="4"/>
  <c r="U6" i="4"/>
  <c r="U95" i="4"/>
  <c r="U126" i="4"/>
  <c r="U130" i="4"/>
  <c r="U68" i="4"/>
  <c r="U15" i="4"/>
  <c r="U17" i="4"/>
  <c r="U46" i="4"/>
  <c r="U20" i="4"/>
  <c r="U78" i="4"/>
  <c r="U105" i="4"/>
  <c r="U107" i="4"/>
  <c r="U144" i="4"/>
  <c r="U85" i="4"/>
  <c r="U147" i="4"/>
  <c r="U116" i="4"/>
  <c r="U119" i="4"/>
  <c r="U6" i="5"/>
  <c r="U25" i="5"/>
  <c r="U45" i="5"/>
  <c r="U30" i="5"/>
  <c r="U48" i="5"/>
  <c r="U17" i="5"/>
  <c r="U44" i="5"/>
  <c r="U7" i="9"/>
  <c r="U15" i="9"/>
  <c r="U23" i="9"/>
  <c r="U31" i="9"/>
  <c r="U39" i="9"/>
  <c r="U47" i="9"/>
  <c r="U55" i="9"/>
  <c r="U63" i="9"/>
  <c r="U219" i="9"/>
  <c r="U227" i="9"/>
  <c r="U235" i="9"/>
  <c r="U243" i="9"/>
  <c r="U68" i="9"/>
  <c r="U76" i="9"/>
  <c r="U84" i="9"/>
  <c r="U92" i="9"/>
  <c r="U100" i="9"/>
  <c r="U108" i="9"/>
  <c r="U116" i="9"/>
  <c r="U124" i="9"/>
  <c r="U132" i="9"/>
  <c r="U140" i="9"/>
  <c r="U148" i="9"/>
  <c r="U156" i="9"/>
  <c r="U164" i="9"/>
  <c r="U173" i="9"/>
  <c r="U181" i="9"/>
  <c r="U189" i="9"/>
  <c r="U197" i="9"/>
  <c r="U205" i="9"/>
  <c r="U213" i="9"/>
  <c r="U11" i="21"/>
  <c r="U19" i="21"/>
  <c r="U27" i="21"/>
  <c r="U35" i="21"/>
  <c r="U6" i="22"/>
  <c r="U12" i="2"/>
  <c r="U11" i="20"/>
  <c r="U19" i="20"/>
  <c r="U27" i="20"/>
  <c r="U35" i="20"/>
  <c r="U43" i="20"/>
  <c r="U49" i="3"/>
  <c r="U16" i="3"/>
  <c r="U17" i="3"/>
  <c r="U42" i="3"/>
  <c r="U45" i="3"/>
  <c r="U54" i="3"/>
  <c r="U48" i="3"/>
  <c r="U4" i="4"/>
  <c r="U93" i="4"/>
  <c r="U39" i="4"/>
  <c r="U65" i="4"/>
  <c r="U66" i="4"/>
  <c r="U13" i="4"/>
  <c r="U99" i="4"/>
  <c r="U44" i="4"/>
  <c r="U137" i="4"/>
  <c r="U102" i="4"/>
  <c r="U22" i="4"/>
  <c r="U24" i="4"/>
  <c r="U82" i="4"/>
  <c r="U83" i="4"/>
  <c r="U30" i="4"/>
  <c r="U87" i="4"/>
  <c r="U148" i="4"/>
  <c r="U91" i="4"/>
  <c r="U38" i="5"/>
  <c r="U26" i="5"/>
  <c r="U9" i="5"/>
  <c r="U31" i="5"/>
  <c r="U14" i="5"/>
  <c r="U18" i="5"/>
  <c r="U35" i="5"/>
  <c r="U8" i="9"/>
  <c r="U16" i="9"/>
  <c r="U24" i="9"/>
  <c r="U32" i="9"/>
  <c r="U40" i="9"/>
  <c r="U48" i="9"/>
  <c r="U56" i="9"/>
  <c r="U64" i="9"/>
  <c r="U220" i="9"/>
  <c r="U228" i="9"/>
  <c r="U236" i="9"/>
  <c r="U244" i="9"/>
  <c r="U69" i="9"/>
  <c r="U77" i="9"/>
  <c r="U85" i="9"/>
  <c r="U93" i="9"/>
  <c r="U101" i="9"/>
  <c r="U109" i="9"/>
  <c r="U117" i="9"/>
  <c r="U125" i="9"/>
  <c r="U133" i="9"/>
  <c r="U141" i="9"/>
  <c r="U149" i="9"/>
  <c r="U157" i="9"/>
  <c r="U165" i="9"/>
  <c r="U174" i="9"/>
  <c r="U182" i="9"/>
  <c r="U190" i="9"/>
  <c r="U198" i="9"/>
  <c r="U206" i="9"/>
  <c r="U4" i="21"/>
  <c r="U12" i="21"/>
  <c r="U20" i="21"/>
  <c r="U28" i="21"/>
  <c r="U36" i="21"/>
  <c r="U7" i="22"/>
  <c r="E92" i="7"/>
  <c r="C91" i="7"/>
  <c r="B92" i="7"/>
  <c r="B91" i="7"/>
  <c r="H91" i="7"/>
  <c r="H92" i="7"/>
  <c r="J91" i="7"/>
  <c r="J92" i="7"/>
  <c r="I91" i="7"/>
  <c r="I92" i="7"/>
  <c r="K91" i="7"/>
  <c r="K92" i="7"/>
  <c r="F92" i="7"/>
  <c r="C92" i="7"/>
  <c r="F91" i="7"/>
  <c r="E91" i="7"/>
  <c r="K94" i="7"/>
  <c r="F94" i="7"/>
  <c r="L82" i="7"/>
  <c r="H94" i="7"/>
  <c r="L84" i="7"/>
  <c r="L85" i="7"/>
  <c r="L86" i="7"/>
  <c r="G82" i="7"/>
  <c r="G84" i="7"/>
  <c r="G85" i="7"/>
  <c r="G86" i="7"/>
  <c r="G87" i="7"/>
  <c r="B94" i="7"/>
  <c r="L80" i="7"/>
  <c r="L81" i="7"/>
  <c r="L83" i="7"/>
  <c r="L87" i="7"/>
  <c r="C94" i="7"/>
  <c r="J94" i="7"/>
  <c r="G81" i="7"/>
  <c r="G80" i="7"/>
  <c r="E94" i="7"/>
  <c r="I94" i="7"/>
  <c r="M84" i="7"/>
  <c r="D85" i="7"/>
  <c r="D86" i="7"/>
  <c r="D87" i="7"/>
  <c r="M82" i="7"/>
  <c r="M81" i="7"/>
  <c r="M80" i="7"/>
  <c r="G83" i="7"/>
  <c r="M83" i="7"/>
  <c r="D84" i="7"/>
  <c r="M87" i="7"/>
  <c r="D80" i="7"/>
  <c r="D83" i="7"/>
  <c r="M86" i="7"/>
  <c r="D82" i="7"/>
  <c r="M85" i="7"/>
  <c r="D81" i="7"/>
  <c r="K93" i="7"/>
  <c r="H93" i="7"/>
  <c r="J93" i="7"/>
  <c r="I93" i="7"/>
  <c r="B93" i="7"/>
  <c r="G20" i="7"/>
  <c r="F93" i="7"/>
  <c r="G19" i="7"/>
  <c r="G21" i="7"/>
  <c r="C93" i="7"/>
  <c r="E93" i="7"/>
  <c r="AX37" i="7"/>
  <c r="AX40" i="7"/>
  <c r="AX39" i="7"/>
  <c r="AX38" i="7"/>
  <c r="G22" i="7"/>
  <c r="AW41" i="7"/>
  <c r="AV41" i="7"/>
  <c r="BA39" i="7" s="1"/>
  <c r="AU41" i="7"/>
  <c r="AZ39" i="7" s="1"/>
  <c r="Q40" i="7"/>
  <c r="AB37" i="7"/>
  <c r="AB38" i="7"/>
  <c r="AB40" i="7"/>
  <c r="AB39" i="7"/>
  <c r="AM37" i="7"/>
  <c r="AM38" i="7"/>
  <c r="Q37" i="7"/>
  <c r="AM39" i="7"/>
  <c r="Q38" i="7"/>
  <c r="AM40" i="7"/>
  <c r="Q39" i="7"/>
  <c r="F40" i="7"/>
  <c r="AL41" i="7"/>
  <c r="AQ39" i="7" s="1"/>
  <c r="AK41" i="7"/>
  <c r="AP39" i="7" s="1"/>
  <c r="AJ41" i="7"/>
  <c r="AO40" i="7" s="1"/>
  <c r="AA41" i="7"/>
  <c r="Z41" i="7"/>
  <c r="AE40" i="7" s="1"/>
  <c r="Y41" i="7"/>
  <c r="AD38" i="7" s="1"/>
  <c r="P41" i="7"/>
  <c r="O41" i="7"/>
  <c r="T39" i="7" s="1"/>
  <c r="N41" i="7"/>
  <c r="F23" i="7"/>
  <c r="L21" i="7" s="1"/>
  <c r="CA41" i="7"/>
  <c r="BE41" i="7"/>
  <c r="M41" i="7"/>
  <c r="R39" i="7" s="1"/>
  <c r="X41" i="7"/>
  <c r="AC37" i="7" s="1"/>
  <c r="AI41" i="7"/>
  <c r="AN38" i="7" s="1"/>
  <c r="BP41" i="7"/>
  <c r="AT41" i="7"/>
  <c r="AY37" i="7" s="1"/>
  <c r="F37" i="7"/>
  <c r="F38" i="7"/>
  <c r="F39" i="7"/>
  <c r="B41" i="7"/>
  <c r="G37" i="7" s="1"/>
  <c r="E41" i="7"/>
  <c r="J40" i="7" s="1"/>
  <c r="D41" i="7"/>
  <c r="I40" i="7" s="1"/>
  <c r="C41" i="7"/>
  <c r="H40" i="7" s="1"/>
  <c r="F30" i="7"/>
  <c r="G30" i="7" s="1"/>
  <c r="F28" i="7"/>
  <c r="G28" i="7" s="1"/>
  <c r="F29" i="7"/>
  <c r="G29" i="7" s="1"/>
  <c r="F31" i="7"/>
  <c r="J31" i="7" s="1"/>
  <c r="E23" i="7"/>
  <c r="K20" i="7" s="1"/>
  <c r="D23" i="7"/>
  <c r="J21" i="7" s="1"/>
  <c r="C23" i="7"/>
  <c r="B15" i="7"/>
  <c r="C15" i="7" s="1"/>
  <c r="B7" i="7"/>
  <c r="O4" i="7" s="1"/>
  <c r="N7" i="7" s="1"/>
  <c r="F4" i="7"/>
  <c r="L4" i="7" s="1"/>
  <c r="F6" i="7"/>
  <c r="K6" i="7" s="1"/>
  <c r="F5" i="7"/>
  <c r="K5" i="7" s="1"/>
  <c r="I7" i="7" s="1"/>
  <c r="F2" i="7"/>
  <c r="J2" i="7" s="1"/>
  <c r="C7" i="7"/>
  <c r="P2" i="7" s="1"/>
  <c r="F3" i="7"/>
  <c r="L3" i="7" s="1"/>
  <c r="E7" i="7"/>
  <c r="R3" i="7" s="1"/>
  <c r="D7" i="7"/>
  <c r="Q3" i="7" s="1"/>
  <c r="F73" i="7" l="1"/>
  <c r="F65" i="7"/>
  <c r="C47" i="7"/>
  <c r="N71" i="7"/>
  <c r="M70" i="7"/>
  <c r="O71" i="7"/>
  <c r="O70" i="7"/>
  <c r="O69" i="7"/>
  <c r="N70" i="7"/>
  <c r="P71" i="7"/>
  <c r="M71" i="7"/>
  <c r="P69" i="7"/>
  <c r="M69" i="7"/>
  <c r="M68" i="7"/>
  <c r="P70" i="7"/>
  <c r="N69" i="7"/>
  <c r="S64" i="7"/>
  <c r="S63" i="7"/>
  <c r="S62" i="7"/>
  <c r="P50" i="7"/>
  <c r="N49" i="7"/>
  <c r="P49" i="7"/>
  <c r="N48" i="7"/>
  <c r="P48" i="7"/>
  <c r="M50" i="7"/>
  <c r="P68" i="7"/>
  <c r="N68" i="7"/>
  <c r="O50" i="7"/>
  <c r="M49" i="7"/>
  <c r="O49" i="7"/>
  <c r="M48" i="7"/>
  <c r="O48" i="7"/>
  <c r="O68" i="7"/>
  <c r="N50" i="7"/>
  <c r="M47" i="7"/>
  <c r="O47" i="7"/>
  <c r="L68" i="7"/>
  <c r="L47" i="7"/>
  <c r="M45" i="7" s="1"/>
  <c r="N47" i="7"/>
  <c r="P47" i="7"/>
  <c r="L71" i="7"/>
  <c r="L69" i="7"/>
  <c r="L70" i="7"/>
  <c r="U69" i="7"/>
  <c r="S70" i="7"/>
  <c r="S69" i="7"/>
  <c r="V71" i="7"/>
  <c r="T71" i="7"/>
  <c r="V70" i="7"/>
  <c r="T70" i="7"/>
  <c r="V69" i="7"/>
  <c r="T69" i="7"/>
  <c r="U70" i="7"/>
  <c r="S71" i="7"/>
  <c r="U71" i="7"/>
  <c r="S47" i="7"/>
  <c r="T45" i="7" s="1"/>
  <c r="V50" i="7"/>
  <c r="T48" i="7"/>
  <c r="V49" i="7"/>
  <c r="S50" i="7"/>
  <c r="V48" i="7"/>
  <c r="S49" i="7"/>
  <c r="U50" i="7"/>
  <c r="S48" i="7"/>
  <c r="T49" i="7"/>
  <c r="U49" i="7"/>
  <c r="V47" i="7"/>
  <c r="U48" i="7"/>
  <c r="U47" i="7"/>
  <c r="T50" i="7"/>
  <c r="T47" i="7"/>
  <c r="L50" i="7"/>
  <c r="L49" i="7"/>
  <c r="L48" i="7"/>
  <c r="C49" i="7"/>
  <c r="C55" i="7"/>
  <c r="D55" i="7"/>
  <c r="D53" i="7"/>
  <c r="C46" i="7"/>
  <c r="C56" i="7"/>
  <c r="D54" i="7"/>
  <c r="D52" i="7"/>
  <c r="C53" i="7"/>
  <c r="E52" i="7"/>
  <c r="E55" i="7"/>
  <c r="D56" i="7"/>
  <c r="C54" i="7"/>
  <c r="C48" i="7"/>
  <c r="C52" i="7"/>
  <c r="E54" i="7"/>
  <c r="E56" i="7"/>
  <c r="E53" i="7"/>
  <c r="G94" i="7"/>
  <c r="C100" i="7" s="1"/>
  <c r="L94" i="7"/>
  <c r="D100" i="7" s="1"/>
  <c r="D94" i="7"/>
  <c r="B100" i="7" s="1"/>
  <c r="D91" i="7"/>
  <c r="B97" i="7" s="1"/>
  <c r="L88" i="7"/>
  <c r="D93" i="7"/>
  <c r="B99" i="7" s="1"/>
  <c r="G92" i="7"/>
  <c r="C98" i="7" s="1"/>
  <c r="G40" i="7"/>
  <c r="D92" i="7"/>
  <c r="B98" i="7" s="1"/>
  <c r="G88" i="7"/>
  <c r="L91" i="7"/>
  <c r="D97" i="7" s="1"/>
  <c r="M88" i="7"/>
  <c r="D88" i="7"/>
  <c r="L92" i="7"/>
  <c r="D98" i="7" s="1"/>
  <c r="L93" i="7"/>
  <c r="D99" i="7" s="1"/>
  <c r="G93" i="7"/>
  <c r="C99" i="7" s="1"/>
  <c r="G91" i="7"/>
  <c r="C97" i="7" s="1"/>
  <c r="AC40" i="7"/>
  <c r="AC38" i="7"/>
  <c r="AO39" i="7"/>
  <c r="AD40" i="7"/>
  <c r="AY39" i="7"/>
  <c r="R38" i="7"/>
  <c r="AN37" i="7"/>
  <c r="AE39" i="7"/>
  <c r="T37" i="7"/>
  <c r="AY38" i="7"/>
  <c r="BA38" i="7"/>
  <c r="T40" i="7"/>
  <c r="AY40" i="7"/>
  <c r="AN40" i="7"/>
  <c r="L22" i="7"/>
  <c r="BA37" i="7"/>
  <c r="AQ38" i="7"/>
  <c r="AC39" i="7"/>
  <c r="L20" i="7"/>
  <c r="BA40" i="7"/>
  <c r="AQ37" i="7"/>
  <c r="AO38" i="7"/>
  <c r="U40" i="7"/>
  <c r="U37" i="7"/>
  <c r="AD37" i="7"/>
  <c r="AD39" i="7"/>
  <c r="R40" i="7"/>
  <c r="AZ38" i="7"/>
  <c r="AQ40" i="7"/>
  <c r="AO37" i="7"/>
  <c r="AE38" i="7"/>
  <c r="BB38" i="7"/>
  <c r="BB40" i="7"/>
  <c r="BB37" i="7"/>
  <c r="BB39" i="7"/>
  <c r="AF38" i="7"/>
  <c r="AF40" i="7"/>
  <c r="AF39" i="7"/>
  <c r="AX41" i="7"/>
  <c r="AP38" i="7"/>
  <c r="R37" i="7"/>
  <c r="AZ37" i="7"/>
  <c r="AE37" i="7"/>
  <c r="U39" i="7"/>
  <c r="AZ40" i="7"/>
  <c r="T38" i="7"/>
  <c r="AP37" i="7"/>
  <c r="U38" i="7"/>
  <c r="AN39" i="7"/>
  <c r="AP40" i="7"/>
  <c r="AF37" i="7"/>
  <c r="L19" i="7"/>
  <c r="AB41" i="7"/>
  <c r="S38" i="7"/>
  <c r="S40" i="7"/>
  <c r="S39" i="7"/>
  <c r="S37" i="7"/>
  <c r="Q41" i="7"/>
  <c r="AM41" i="7"/>
  <c r="J39" i="7"/>
  <c r="I19" i="7"/>
  <c r="I21" i="7"/>
  <c r="I20" i="7"/>
  <c r="I22" i="7"/>
  <c r="J19" i="7"/>
  <c r="J20" i="7"/>
  <c r="J22" i="7"/>
  <c r="H39" i="7"/>
  <c r="J38" i="7"/>
  <c r="H38" i="7"/>
  <c r="I37" i="7"/>
  <c r="J37" i="7"/>
  <c r="G38" i="7"/>
  <c r="H37" i="7"/>
  <c r="I39" i="7"/>
  <c r="G39" i="7"/>
  <c r="I38" i="7"/>
  <c r="F41" i="7"/>
  <c r="H28" i="7"/>
  <c r="I28" i="7"/>
  <c r="I30" i="7"/>
  <c r="J30" i="7"/>
  <c r="J28" i="7"/>
  <c r="H30" i="7"/>
  <c r="I31" i="7"/>
  <c r="H31" i="7"/>
  <c r="G31" i="7"/>
  <c r="K28" i="7" s="1"/>
  <c r="J29" i="7"/>
  <c r="I29" i="7"/>
  <c r="H29" i="7"/>
  <c r="K21" i="7"/>
  <c r="K22" i="7"/>
  <c r="K19" i="7"/>
  <c r="O6" i="7"/>
  <c r="K3" i="7"/>
  <c r="I4" i="7"/>
  <c r="K4" i="7"/>
  <c r="I3" i="7"/>
  <c r="J3" i="7"/>
  <c r="L6" i="7"/>
  <c r="O3" i="7"/>
  <c r="L5" i="7"/>
  <c r="J5" i="7"/>
  <c r="J4" i="7"/>
  <c r="L2" i="7"/>
  <c r="P6" i="7"/>
  <c r="I6" i="7"/>
  <c r="P5" i="7"/>
  <c r="J6" i="7"/>
  <c r="F7" i="7"/>
  <c r="I2" i="7"/>
  <c r="I5" i="7"/>
  <c r="O5" i="7"/>
  <c r="O2" i="7"/>
  <c r="P4" i="7"/>
  <c r="K2" i="7"/>
  <c r="P3" i="7"/>
  <c r="R5" i="7"/>
  <c r="R2" i="7"/>
  <c r="R6" i="7"/>
  <c r="R4" i="7"/>
  <c r="Q6" i="7"/>
  <c r="Q5" i="7"/>
  <c r="Q2" i="7"/>
  <c r="Q4" i="7"/>
  <c r="V51" i="7" l="1"/>
  <c r="U51" i="7"/>
  <c r="T51" i="7"/>
  <c r="S51" i="7"/>
  <c r="F53" i="7"/>
  <c r="C57" i="7"/>
  <c r="F55" i="7"/>
  <c r="F56" i="7"/>
  <c r="F54" i="7"/>
  <c r="E57" i="7"/>
  <c r="D57" i="7"/>
  <c r="F52" i="7"/>
  <c r="B57" i="7"/>
  <c r="E100" i="7"/>
  <c r="E99" i="7"/>
  <c r="F97" i="7"/>
  <c r="E98" i="7"/>
  <c r="B23" i="7"/>
  <c r="F57" i="7" l="1"/>
  <c r="H20" i="7"/>
  <c r="H22" i="7"/>
  <c r="H19" i="7"/>
  <c r="H21" i="7"/>
</calcChain>
</file>

<file path=xl/sharedStrings.xml><?xml version="1.0" encoding="utf-8"?>
<sst xmlns="http://schemas.openxmlformats.org/spreadsheetml/2006/main" count="14932" uniqueCount="204">
  <si>
    <t>Name</t>
  </si>
  <si>
    <t>Day of the Week</t>
  </si>
  <si>
    <t>H1 Profiles</t>
  </si>
  <si>
    <t>Strat Type</t>
  </si>
  <si>
    <t>Range 800-1600</t>
  </si>
  <si>
    <t>2 by...</t>
  </si>
  <si>
    <t>Close inside by...</t>
  </si>
  <si>
    <t>3 by...</t>
  </si>
  <si>
    <t>3 Close inside by...</t>
  </si>
  <si>
    <t>PDHL x1</t>
  </si>
  <si>
    <t>Front Range</t>
  </si>
  <si>
    <t>Back Range</t>
  </si>
  <si>
    <t>1st Red News</t>
  </si>
  <si>
    <t>Screamer</t>
  </si>
  <si>
    <t>2D</t>
  </si>
  <si>
    <t>Lon xLow</t>
  </si>
  <si>
    <t>Asia High</t>
  </si>
  <si>
    <t>NYA Low</t>
  </si>
  <si>
    <t>Wednesday</t>
  </si>
  <si>
    <t>Tuesday</t>
  </si>
  <si>
    <t>Lon Pivot</t>
  </si>
  <si>
    <t>NYA xLow</t>
  </si>
  <si>
    <t>Lon High</t>
  </si>
  <si>
    <t>Monday</t>
  </si>
  <si>
    <t>Asia Wall</t>
  </si>
  <si>
    <t>NYO Low</t>
  </si>
  <si>
    <t>Friday</t>
  </si>
  <si>
    <t>NYO xHigh</t>
  </si>
  <si>
    <t>2U</t>
  </si>
  <si>
    <t>Asia xHigh</t>
  </si>
  <si>
    <t>Lon xHigh</t>
  </si>
  <si>
    <t>Asia Low</t>
  </si>
  <si>
    <t>NYA High</t>
  </si>
  <si>
    <t>NY Z Day</t>
  </si>
  <si>
    <t>Inside</t>
  </si>
  <si>
    <t>NYO High</t>
  </si>
  <si>
    <t>Thursday</t>
  </si>
  <si>
    <t>Asia xLow</t>
  </si>
  <si>
    <t>3U</t>
  </si>
  <si>
    <t>Lon Low</t>
  </si>
  <si>
    <t>4U</t>
  </si>
  <si>
    <t>Lon Wall</t>
  </si>
  <si>
    <t>NYAH Low</t>
  </si>
  <si>
    <t>2UD</t>
  </si>
  <si>
    <t>NYAH High</t>
  </si>
  <si>
    <t>NYO xLow</t>
  </si>
  <si>
    <t>2DU</t>
  </si>
  <si>
    <t>4D</t>
  </si>
  <si>
    <t>3D</t>
  </si>
  <si>
    <t>NYA xHigh</t>
  </si>
  <si>
    <t>London Low</t>
  </si>
  <si>
    <t>4UD</t>
  </si>
  <si>
    <t>3DU</t>
  </si>
  <si>
    <t>3UDU</t>
  </si>
  <si>
    <t>NYAH xHigh</t>
  </si>
  <si>
    <t>by Days</t>
  </si>
  <si>
    <t>by Profile</t>
  </si>
  <si>
    <t>3UD</t>
  </si>
  <si>
    <t>Holiday Week</t>
  </si>
  <si>
    <t>Front Pivot</t>
  </si>
  <si>
    <t>Last Pivot</t>
  </si>
  <si>
    <t>OPEX</t>
  </si>
  <si>
    <t>NFLX</t>
  </si>
  <si>
    <t>TSLA</t>
  </si>
  <si>
    <t>GOOGL,MSFT</t>
  </si>
  <si>
    <t>AAPL,AMZN,META</t>
  </si>
  <si>
    <t>NVDA</t>
  </si>
  <si>
    <t>Witch x3</t>
  </si>
  <si>
    <t>META</t>
  </si>
  <si>
    <t>AMZN</t>
  </si>
  <si>
    <t>AAPL</t>
  </si>
  <si>
    <t>GOOGL,TSLA</t>
  </si>
  <si>
    <t>MSFT</t>
  </si>
  <si>
    <t>AAPL,AMZN</t>
  </si>
  <si>
    <t>NFLX,OPEX</t>
  </si>
  <si>
    <t>GOOGL</t>
  </si>
  <si>
    <t>META,MSFT</t>
  </si>
  <si>
    <t>Red News</t>
  </si>
  <si>
    <t>Equity News</t>
  </si>
  <si>
    <t>AsiaX</t>
  </si>
  <si>
    <t>LonX</t>
  </si>
  <si>
    <t>NYOX</t>
  </si>
  <si>
    <t>Total</t>
  </si>
  <si>
    <t>Screamers</t>
  </si>
  <si>
    <t># Days</t>
  </si>
  <si>
    <t>Total #</t>
  </si>
  <si>
    <t>of Thursdays are Z Days</t>
  </si>
  <si>
    <t>Walls are LIQ Building</t>
  </si>
  <si>
    <t>of total screamers happen on Wednesday</t>
  </si>
  <si>
    <t>Fridays are bad day's for screamers</t>
  </si>
  <si>
    <t>Mondays are bad for Lon Pivot and Z Days</t>
  </si>
  <si>
    <t>Mondays</t>
  </si>
  <si>
    <t>Tuesdays</t>
  </si>
  <si>
    <t>Wednesdays</t>
  </si>
  <si>
    <t>Thursdays</t>
  </si>
  <si>
    <t>Fridays</t>
  </si>
  <si>
    <t>Lon Pivots</t>
  </si>
  <si>
    <t>Z Days</t>
  </si>
  <si>
    <t>Wall Profiles more likely</t>
  </si>
  <si>
    <t>Wall</t>
  </si>
  <si>
    <t>NYAX</t>
  </si>
  <si>
    <t>Totals</t>
  </si>
  <si>
    <t>Asia-NYO #:</t>
  </si>
  <si>
    <t>% of time PDHL is taken by end of NYO</t>
  </si>
  <si>
    <t>NFLX,TSLA</t>
  </si>
  <si>
    <t>?My numbers do a bad job predicting Lon Pivot</t>
  </si>
  <si>
    <t>Next Day</t>
  </si>
  <si>
    <t>Tuesday PH</t>
  </si>
  <si>
    <t>Friday PH</t>
  </si>
  <si>
    <t>Monday PH</t>
  </si>
  <si>
    <t>Thursday PH</t>
  </si>
  <si>
    <t>Next Day Profile</t>
  </si>
  <si>
    <t>Screamers happen after a Wall Profile</t>
  </si>
  <si>
    <t>Next Day by Monday</t>
  </si>
  <si>
    <t>Next Day by Friday</t>
  </si>
  <si>
    <t>Next Day by Thursday</t>
  </si>
  <si>
    <t>Next Day by Wednesday</t>
  </si>
  <si>
    <t>Next Day by Tuesday</t>
  </si>
  <si>
    <t>Next Day Post-Holiday</t>
  </si>
  <si>
    <t>Next Day Inside</t>
  </si>
  <si>
    <t>Next Range</t>
  </si>
  <si>
    <t>Next Strat</t>
  </si>
  <si>
    <t>Range Days</t>
  </si>
  <si>
    <t>Big =</t>
  </si>
  <si>
    <t xml:space="preserve">Small = </t>
  </si>
  <si>
    <t>I got this column by making a dummy column that just said "=D5", filling it lower, then copying values only</t>
  </si>
  <si>
    <t>I got this column by making a dummy column that just said "=E5", filling it lower, then copying values only</t>
  </si>
  <si>
    <t>Range Size</t>
  </si>
  <si>
    <t>% of total</t>
  </si>
  <si>
    <t>Next Day Big</t>
  </si>
  <si>
    <t>Pre Profile</t>
  </si>
  <si>
    <t>Next Profile</t>
  </si>
  <si>
    <t>Pre Range</t>
  </si>
  <si>
    <t>See Next Strat</t>
  </si>
  <si>
    <t>Pre Strat</t>
  </si>
  <si>
    <t xml:space="preserve">Good = </t>
  </si>
  <si>
    <t>Norm =</t>
  </si>
  <si>
    <t># times a Monday LP was followed by a Z Day</t>
  </si>
  <si>
    <t>Profile x Day</t>
  </si>
  <si>
    <t>Can't do PH, messes w/code, have to refigure</t>
  </si>
  <si>
    <t>Monday-</t>
  </si>
  <si>
    <t>Tuesday-</t>
  </si>
  <si>
    <t>Wednesday-</t>
  </si>
  <si>
    <t>Thursday-</t>
  </si>
  <si>
    <t>Friday-</t>
  </si>
  <si>
    <t>Inside-</t>
  </si>
  <si>
    <t>Big Range-</t>
  </si>
  <si>
    <t>?Maybe NYA/Asia has more predictive value for London on a 24 cycle?</t>
  </si>
  <si>
    <t>Profile by PDHL</t>
  </si>
  <si>
    <t>Big</t>
  </si>
  <si>
    <t>Small</t>
  </si>
  <si>
    <t>Good</t>
  </si>
  <si>
    <t>Norm</t>
  </si>
  <si>
    <t>STRAT</t>
  </si>
  <si>
    <t>AsiaX High</t>
  </si>
  <si>
    <t>AsiaX Low</t>
  </si>
  <si>
    <t>LonX High</t>
  </si>
  <si>
    <t>LonX Low</t>
  </si>
  <si>
    <t>TOTAL</t>
  </si>
  <si>
    <t>NYOX High</t>
  </si>
  <si>
    <t>NYOX Low</t>
  </si>
  <si>
    <t>NYAX High</t>
  </si>
  <si>
    <t>NYAX Low</t>
  </si>
  <si>
    <t>M</t>
  </si>
  <si>
    <t>800-1000</t>
  </si>
  <si>
    <t>Total 2s</t>
  </si>
  <si>
    <t>Total F2s</t>
  </si>
  <si>
    <t>Total 3s</t>
  </si>
  <si>
    <t>PDHL Break</t>
  </si>
  <si>
    <t>1100-1500</t>
  </si>
  <si>
    <t>2s</t>
  </si>
  <si>
    <t>F2s</t>
  </si>
  <si>
    <t>3s</t>
  </si>
  <si>
    <t>1800-100</t>
  </si>
  <si>
    <t>200-700</t>
  </si>
  <si>
    <t>R: Asia</t>
  </si>
  <si>
    <t>R: Lon</t>
  </si>
  <si>
    <t>R: NYO</t>
  </si>
  <si>
    <t>R: NYA</t>
  </si>
  <si>
    <t>R: NYAH</t>
  </si>
  <si>
    <t>-</t>
  </si>
  <si>
    <t>NY Day</t>
  </si>
  <si>
    <t>Sm-Good</t>
  </si>
  <si>
    <t>R:Lon</t>
  </si>
  <si>
    <t>Asia Sz</t>
  </si>
  <si>
    <t>Lon Sz</t>
  </si>
  <si>
    <t>NYO Sz</t>
  </si>
  <si>
    <t>NYA Sz</t>
  </si>
  <si>
    <t>NYAH Sz</t>
  </si>
  <si>
    <t>NY Day Sz</t>
  </si>
  <si>
    <t>NY DAY</t>
  </si>
  <si>
    <t>Asia</t>
  </si>
  <si>
    <t>Lon</t>
  </si>
  <si>
    <t>NYO</t>
  </si>
  <si>
    <t>NYA</t>
  </si>
  <si>
    <t>NYAH</t>
  </si>
  <si>
    <t>times Asia has been small</t>
  </si>
  <si>
    <t>If Asia is small</t>
  </si>
  <si>
    <t>If Asia is Good</t>
  </si>
  <si>
    <t>If Asia is Big</t>
  </si>
  <si>
    <t>times LON has been small</t>
  </si>
  <si>
    <t>On a small NY Day</t>
  </si>
  <si>
    <t>On a big NY Day</t>
  </si>
  <si>
    <t>If Asia is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</si>
</sst>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.9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14" fontId="0" fillId="0" borderId="0" xfId="0" applyNumberFormat="1"/>
    <xf numFmtId="9" fontId="0" fillId="0" borderId="0" xfId="1" applyFont="1"/>
    <xf numFmtId="0" fontId="0" fillId="33" borderId="0" xfId="0" applyFill="1"/>
    <xf numFmtId="0" fontId="0" fillId="34" borderId="0" xfId="0" applyFill="1"/>
    <xf numFmtId="9" fontId="0" fillId="34" borderId="0" xfId="1" applyFont="1" applyFill="1"/>
    <xf numFmtId="9" fontId="0" fillId="34" borderId="0" xfId="0" applyNumberFormat="1" applyFill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9" fontId="0" fillId="0" borderId="10" xfId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9" fontId="0" fillId="0" borderId="32" xfId="1" applyFont="1" applyBorder="1"/>
    <xf numFmtId="0" fontId="0" fillId="0" borderId="33" xfId="0" applyBorder="1"/>
    <xf numFmtId="9" fontId="0" fillId="33" borderId="0" xfId="0" applyNumberFormat="1" applyFill="1"/>
    <xf numFmtId="9" fontId="0" fillId="0" borderId="11" xfId="1" applyFont="1" applyBorder="1"/>
    <xf numFmtId="0" fontId="19" fillId="0" borderId="0" xfId="0" applyFont="1"/>
    <xf numFmtId="0" fontId="19" fillId="0" borderId="34" xfId="0" applyFont="1" applyBorder="1"/>
    <xf numFmtId="9" fontId="0" fillId="34" borderId="34" xfId="0" applyNumberFormat="1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9" fontId="0" fillId="0" borderId="40" xfId="1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2" fontId="0" fillId="0" borderId="19" xfId="1" applyNumberFormat="1" applyFont="1" applyBorder="1"/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5" borderId="21" xfId="0" applyFill="1" applyBorder="1"/>
    <xf numFmtId="0" fontId="0" fillId="37" borderId="20" xfId="0" applyFill="1" applyBorder="1"/>
    <xf numFmtId="0" fontId="0" fillId="38" borderId="20" xfId="0" applyFill="1" applyBorder="1"/>
    <xf numFmtId="0" fontId="0" fillId="36" borderId="19" xfId="0" applyFill="1" applyBorder="1"/>
    <xf numFmtId="9" fontId="0" fillId="0" borderId="24" xfId="1" applyFont="1" applyBorder="1"/>
    <xf numFmtId="9" fontId="0" fillId="0" borderId="25" xfId="1" applyFont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0" xfId="0" applyFont="1" applyBorder="1"/>
    <xf numFmtId="1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1" fillId="0" borderId="0" xfId="0" applyFon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32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49998474074526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C6600"/>
        </patternFill>
      </fill>
    </dxf>
    <dxf>
      <fill>
        <patternFill>
          <bgColor rgb="FFFFCC66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theme="9" tint="0.79998168889431442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2"/>
        </patternFill>
      </fill>
    </dxf>
    <dxf>
      <fill>
        <patternFill>
          <bgColor theme="9" tint="0.79998168889431442"/>
        </patternFill>
      </fill>
    </dxf>
    <dxf>
      <fill>
        <patternFill>
          <bgColor rgb="FFFFCC66"/>
        </patternFill>
      </fill>
    </dxf>
    <dxf>
      <fill>
        <patternFill>
          <bgColor rgb="FFCC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49998474074526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C6600"/>
        </patternFill>
      </fill>
    </dxf>
    <dxf>
      <fill>
        <patternFill>
          <bgColor rgb="FFFFCC66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499984740745262"/>
        </patternFill>
      </fill>
    </dxf>
  </dxfs>
  <tableStyles count="0" defaultTableStyle="TableStyleMedium2" defaultPivotStyle="PivotStyleLight16"/>
  <colors>
    <mruColors>
      <color rgb="FFFF7C80"/>
      <color rgb="FFCC6600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6D7B-CD4C-4462-9AA3-16E4785F07B0}">
  <dimension ref="A1:AH337"/>
  <sheetViews>
    <sheetView tabSelected="1" topLeftCell="M1" workbookViewId="0">
      <pane ySplit="1" topLeftCell="A2" activePane="bottomLeft" state="frozen"/>
      <selection pane="bottomLeft" activeCell="U4" sqref="U4"/>
    </sheetView>
  </sheetViews>
  <sheetFormatPr defaultRowHeight="15" x14ac:dyDescent="0.25"/>
  <cols>
    <col min="1" max="1" width="10.42578125" bestFit="1" customWidth="1"/>
    <col min="2" max="2" width="12.85546875" customWidth="1"/>
    <col min="3" max="3" width="10.28515625" customWidth="1"/>
    <col min="4" max="4" width="6" customWidth="1"/>
    <col min="5" max="5" width="9.28515625" customWidth="1"/>
    <col min="6" max="9" width="6.425781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  <col min="34" max="34" width="10.42578125" bestFit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189</v>
      </c>
      <c r="V1" t="s">
        <v>130</v>
      </c>
      <c r="W1" t="s">
        <v>132</v>
      </c>
      <c r="X1" t="s">
        <v>134</v>
      </c>
      <c r="Y1" t="s">
        <v>175</v>
      </c>
      <c r="Z1" t="s">
        <v>184</v>
      </c>
      <c r="AA1" t="s">
        <v>176</v>
      </c>
      <c r="AB1" t="s">
        <v>185</v>
      </c>
      <c r="AC1" t="s">
        <v>177</v>
      </c>
      <c r="AD1" t="s">
        <v>186</v>
      </c>
      <c r="AE1" t="s">
        <v>178</v>
      </c>
      <c r="AF1" t="s">
        <v>187</v>
      </c>
      <c r="AG1" t="s">
        <v>179</v>
      </c>
      <c r="AH1" t="s">
        <v>188</v>
      </c>
    </row>
    <row r="2" spans="1:34" x14ac:dyDescent="0.25">
      <c r="S2" t="s">
        <v>125</v>
      </c>
      <c r="T2" t="s">
        <v>126</v>
      </c>
      <c r="V2" t="s">
        <v>133</v>
      </c>
      <c r="W2" t="s">
        <v>133</v>
      </c>
    </row>
    <row r="4" spans="1:34" x14ac:dyDescent="0.25">
      <c r="A4" s="1">
        <v>45174</v>
      </c>
      <c r="B4" t="s">
        <v>19</v>
      </c>
      <c r="C4" t="s">
        <v>20</v>
      </c>
      <c r="D4" t="s">
        <v>46</v>
      </c>
      <c r="E4">
        <v>150</v>
      </c>
      <c r="F4">
        <v>400</v>
      </c>
      <c r="G4">
        <v>500</v>
      </c>
      <c r="J4" t="s">
        <v>15</v>
      </c>
      <c r="K4" t="s">
        <v>39</v>
      </c>
      <c r="L4" t="s">
        <v>32</v>
      </c>
      <c r="M4" t="s">
        <v>18</v>
      </c>
      <c r="N4">
        <v>2</v>
      </c>
      <c r="P4">
        <v>1000</v>
      </c>
      <c r="Q4">
        <v>1400</v>
      </c>
      <c r="R4" t="s">
        <v>13</v>
      </c>
      <c r="S4" t="s">
        <v>14</v>
      </c>
      <c r="T4">
        <v>203.75</v>
      </c>
      <c r="U4" t="str">
        <f>_xlfn.IFNA(_xlfn.IFS(E4&gt;Dash!$D$46, "Big", E4&lt;Dash!$D$49, "Small", E4&gt;Dash!$D$47, "Good"), "Norm")</f>
        <v>Small</v>
      </c>
    </row>
    <row r="5" spans="1:34" x14ac:dyDescent="0.25">
      <c r="A5" s="1">
        <v>45175</v>
      </c>
      <c r="B5" t="s">
        <v>18</v>
      </c>
      <c r="C5" t="s">
        <v>13</v>
      </c>
      <c r="D5" t="s">
        <v>14</v>
      </c>
      <c r="E5">
        <v>203.75</v>
      </c>
      <c r="F5">
        <v>1000</v>
      </c>
      <c r="J5" t="s">
        <v>45</v>
      </c>
      <c r="K5" t="s">
        <v>16</v>
      </c>
      <c r="L5" t="s">
        <v>17</v>
      </c>
      <c r="M5" t="s">
        <v>18</v>
      </c>
      <c r="N5">
        <v>2</v>
      </c>
      <c r="P5">
        <v>1300</v>
      </c>
      <c r="Q5">
        <v>1500</v>
      </c>
      <c r="R5" t="s">
        <v>24</v>
      </c>
      <c r="S5" t="s">
        <v>14</v>
      </c>
      <c r="T5">
        <v>154.25</v>
      </c>
      <c r="U5" t="str">
        <f>_xlfn.IFNA(_xlfn.IFS(E5&gt;Dash!$D$46, "Big", E5&lt;Dash!$D$49, "Small", E5&gt;Dash!$D$47, "Good"), "Norm")</f>
        <v>Norm</v>
      </c>
      <c r="V5" t="s">
        <v>20</v>
      </c>
      <c r="W5">
        <v>150</v>
      </c>
      <c r="X5" t="s">
        <v>46</v>
      </c>
    </row>
    <row r="6" spans="1:34" x14ac:dyDescent="0.25">
      <c r="A6" s="1">
        <v>45176</v>
      </c>
      <c r="B6" t="s">
        <v>36</v>
      </c>
      <c r="C6" t="s">
        <v>24</v>
      </c>
      <c r="D6" t="s">
        <v>14</v>
      </c>
      <c r="E6">
        <v>154.25</v>
      </c>
      <c r="F6">
        <v>300</v>
      </c>
      <c r="G6">
        <v>300</v>
      </c>
      <c r="J6" t="s">
        <v>15</v>
      </c>
      <c r="K6" t="s">
        <v>16</v>
      </c>
      <c r="L6" t="s">
        <v>25</v>
      </c>
      <c r="M6" t="s">
        <v>18</v>
      </c>
      <c r="N6">
        <v>2</v>
      </c>
      <c r="P6">
        <v>900</v>
      </c>
      <c r="Q6">
        <v>1500</v>
      </c>
      <c r="R6" t="s">
        <v>41</v>
      </c>
      <c r="S6">
        <v>1</v>
      </c>
      <c r="T6">
        <v>149.75</v>
      </c>
      <c r="U6" t="str">
        <f>_xlfn.IFNA(_xlfn.IFS(E6&gt;Dash!$D$46, "Big", E6&lt;Dash!$D$49, "Small", E6&gt;Dash!$D$47, "Good"), "Norm")</f>
        <v>Small</v>
      </c>
      <c r="V6" t="s">
        <v>13</v>
      </c>
      <c r="W6">
        <v>203.75</v>
      </c>
      <c r="X6" t="s">
        <v>14</v>
      </c>
    </row>
    <row r="7" spans="1:34" x14ac:dyDescent="0.25">
      <c r="A7" s="1">
        <v>45177</v>
      </c>
      <c r="B7" t="s">
        <v>26</v>
      </c>
      <c r="C7" t="s">
        <v>41</v>
      </c>
      <c r="D7">
        <v>1</v>
      </c>
      <c r="E7">
        <v>149.75</v>
      </c>
      <c r="J7" t="s">
        <v>34</v>
      </c>
      <c r="K7" t="s">
        <v>39</v>
      </c>
      <c r="L7" t="s">
        <v>35</v>
      </c>
      <c r="M7" t="s">
        <v>18</v>
      </c>
      <c r="N7">
        <v>2</v>
      </c>
      <c r="P7">
        <v>1400</v>
      </c>
      <c r="Q7">
        <v>1500</v>
      </c>
      <c r="R7" t="s">
        <v>13</v>
      </c>
      <c r="S7" t="s">
        <v>28</v>
      </c>
      <c r="T7">
        <v>158.5</v>
      </c>
      <c r="U7" t="str">
        <f>_xlfn.IFNA(_xlfn.IFS(E7&gt;Dash!$D$46, "Big", E7&lt;Dash!$D$49, "Small", E7&gt;Dash!$D$47, "Good"), "Norm")</f>
        <v>Small</v>
      </c>
      <c r="V7" t="s">
        <v>24</v>
      </c>
      <c r="W7">
        <v>154.25</v>
      </c>
      <c r="X7" t="s">
        <v>14</v>
      </c>
      <c r="Y7">
        <v>66.25</v>
      </c>
      <c r="Z7" t="str">
        <f>_xlfn.IFNA(_xlfn.IFS(Y7&gt;Dash!$E$46, "Big", Y7&lt;Dash!$E$49, "Small", Y7&gt;Dash!$E$47, "Good"), "Norm")</f>
        <v>Norm</v>
      </c>
      <c r="AA7">
        <v>120.75</v>
      </c>
      <c r="AB7" t="str">
        <f>_xlfn.IFNA(_xlfn.IFS(AA7&gt;Dash!$F$46, "Big", AA7&lt;Dash!$F$49, "Small", AA7&gt;Dash!$F$47, "Good"), "Norm")</f>
        <v>Good</v>
      </c>
      <c r="AC7">
        <v>108.25</v>
      </c>
      <c r="AD7" t="str">
        <f>_xlfn.IFNA(_xlfn.IFS(AC7&gt;Dash!$G$46, "Big", AC7&lt;Dash!$G$49, "Small", AC7&gt;Dash!$G$47, "Good"), "Norm")</f>
        <v>Small</v>
      </c>
      <c r="AE7">
        <v>149.75</v>
      </c>
      <c r="AF7" t="str">
        <f>_xlfn.IFNA(_xlfn.IFS(AE7&gt;Dash!$H$46, "Big", AE7&lt;Dash!$H$49, "Small", AE7&gt;Dash!$H$47, "Good"), "Norm")</f>
        <v>Norm</v>
      </c>
    </row>
    <row r="8" spans="1:34" x14ac:dyDescent="0.25">
      <c r="A8" s="1">
        <v>45180</v>
      </c>
      <c r="B8" t="s">
        <v>23</v>
      </c>
      <c r="C8" t="s">
        <v>13</v>
      </c>
      <c r="D8" t="s">
        <v>28</v>
      </c>
      <c r="E8">
        <v>158.5</v>
      </c>
      <c r="F8">
        <v>300</v>
      </c>
      <c r="G8">
        <v>300</v>
      </c>
      <c r="J8" t="s">
        <v>30</v>
      </c>
      <c r="K8" t="s">
        <v>31</v>
      </c>
      <c r="L8" t="s">
        <v>32</v>
      </c>
      <c r="M8" t="s">
        <v>18</v>
      </c>
      <c r="N8">
        <v>10</v>
      </c>
      <c r="P8">
        <v>1000</v>
      </c>
      <c r="Q8">
        <v>1500</v>
      </c>
      <c r="R8" t="s">
        <v>20</v>
      </c>
      <c r="S8" t="s">
        <v>14</v>
      </c>
      <c r="T8">
        <v>172.5</v>
      </c>
      <c r="U8" t="str">
        <f>_xlfn.IFNA(_xlfn.IFS(E8&gt;Dash!$D$46, "Big", E8&lt;Dash!$D$49, "Small", E8&gt;Dash!$D$47, "Good"), "Norm")</f>
        <v>Norm</v>
      </c>
      <c r="V8" t="s">
        <v>41</v>
      </c>
      <c r="W8">
        <v>149.75</v>
      </c>
      <c r="X8">
        <v>1</v>
      </c>
      <c r="Y8">
        <v>66.25</v>
      </c>
      <c r="Z8" t="str">
        <f>_xlfn.IFNA(_xlfn.IFS(Y8&gt;Dash!$E$46, "Big", Y8&lt;Dash!$E$49, "Small", Y8&gt;Dash!$E$47, "Good"), "Norm")</f>
        <v>Norm</v>
      </c>
      <c r="AA8">
        <v>61</v>
      </c>
      <c r="AB8" t="str">
        <f>_xlfn.IFNA(_xlfn.IFS(AA8&gt;Dash!$F$46, "Big", AA8&lt;Dash!$F$49, "Small", AA8&gt;Dash!$F$47, "Good"), "Norm")</f>
        <v>Norm</v>
      </c>
      <c r="AC8">
        <v>109.25</v>
      </c>
      <c r="AD8" t="str">
        <f>_xlfn.IFNA(_xlfn.IFS(AC8&gt;Dash!$G$46, "Big", AC8&lt;Dash!$G$49, "Small", AC8&gt;Dash!$G$47, "Good"), "Norm")</f>
        <v>Small</v>
      </c>
      <c r="AE8">
        <v>136</v>
      </c>
      <c r="AF8" t="str">
        <f>_xlfn.IFNA(_xlfn.IFS(AE8&gt;Dash!$H$46, "Big", AE8&lt;Dash!$H$49, "Small", AE8&gt;Dash!$H$47, "Good"), "Norm")</f>
        <v>Norm</v>
      </c>
      <c r="AG8">
        <v>13</v>
      </c>
      <c r="AH8" t="str">
        <f>_xlfn.IFNA(_xlfn.IFS(AG8&gt;Dash!$I$46, "Big", AG8&lt;Dash!$I$49, "Small", AG8&gt;Dash!$I$47, "Good"), "Norm")</f>
        <v>Small</v>
      </c>
    </row>
    <row r="9" spans="1:34" x14ac:dyDescent="0.25">
      <c r="A9" s="1">
        <v>45181</v>
      </c>
      <c r="B9" t="s">
        <v>19</v>
      </c>
      <c r="C9" t="s">
        <v>20</v>
      </c>
      <c r="D9" t="s">
        <v>14</v>
      </c>
      <c r="E9">
        <v>172.5</v>
      </c>
      <c r="F9">
        <v>1500</v>
      </c>
      <c r="G9">
        <v>1500</v>
      </c>
      <c r="J9" t="s">
        <v>21</v>
      </c>
      <c r="K9" t="s">
        <v>22</v>
      </c>
      <c r="L9" t="s">
        <v>17</v>
      </c>
      <c r="M9" t="s">
        <v>18</v>
      </c>
      <c r="N9">
        <v>10</v>
      </c>
      <c r="P9">
        <v>1300</v>
      </c>
      <c r="Q9">
        <v>1500</v>
      </c>
      <c r="R9" t="s">
        <v>33</v>
      </c>
      <c r="S9" t="s">
        <v>46</v>
      </c>
      <c r="T9">
        <v>211.5</v>
      </c>
      <c r="U9" t="str">
        <f>_xlfn.IFNA(_xlfn.IFS(E9&gt;Dash!$D$46, "Big", E9&lt;Dash!$D$49, "Small", E9&gt;Dash!$D$47, "Good"), "Norm")</f>
        <v>Norm</v>
      </c>
      <c r="V9" t="s">
        <v>13</v>
      </c>
      <c r="W9">
        <v>158.5</v>
      </c>
      <c r="X9" t="s">
        <v>28</v>
      </c>
      <c r="Y9">
        <v>34.25</v>
      </c>
      <c r="Z9" t="str">
        <f>_xlfn.IFNA(_xlfn.IFS(Y9&gt;Dash!$E$46, "Big", Y9&lt;Dash!$E$49, "Small", Y9&gt;Dash!$E$47, "Good"), "Norm")</f>
        <v>Small</v>
      </c>
      <c r="AA9">
        <v>61.75</v>
      </c>
      <c r="AB9" t="str">
        <f>_xlfn.IFNA(_xlfn.IFS(AA9&gt;Dash!$F$46, "Big", AA9&lt;Dash!$F$49, "Small", AA9&gt;Dash!$F$47, "Good"), "Norm")</f>
        <v>Norm</v>
      </c>
      <c r="AC9">
        <v>139</v>
      </c>
      <c r="AD9" t="str">
        <f>_xlfn.IFNA(_xlfn.IFS(AC9&gt;Dash!$G$46, "Big", AC9&lt;Dash!$G$49, "Small", AC9&gt;Dash!$G$47, "Good"), "Norm")</f>
        <v>Norm</v>
      </c>
      <c r="AE9">
        <v>129.75</v>
      </c>
      <c r="AF9" t="str">
        <f>_xlfn.IFNA(_xlfn.IFS(AE9&gt;Dash!$H$46, "Big", AE9&lt;Dash!$H$49, "Small", AE9&gt;Dash!$H$47, "Good"), "Norm")</f>
        <v>Norm</v>
      </c>
      <c r="AG9">
        <v>16</v>
      </c>
      <c r="AH9" t="str">
        <f>_xlfn.IFNA(_xlfn.IFS(AG9&gt;Dash!$I$46, "Big", AG9&lt;Dash!$I$49, "Small", AG9&gt;Dash!$I$47, "Good"), "Norm")</f>
        <v>Small</v>
      </c>
    </row>
    <row r="10" spans="1:34" x14ac:dyDescent="0.25">
      <c r="A10" s="1">
        <v>45182</v>
      </c>
      <c r="B10" t="s">
        <v>18</v>
      </c>
      <c r="C10" t="s">
        <v>33</v>
      </c>
      <c r="D10" t="s">
        <v>46</v>
      </c>
      <c r="E10">
        <v>211.5</v>
      </c>
      <c r="F10">
        <v>2200</v>
      </c>
      <c r="G10" t="s">
        <v>163</v>
      </c>
      <c r="J10" t="s">
        <v>37</v>
      </c>
      <c r="K10" t="s">
        <v>25</v>
      </c>
      <c r="L10" t="s">
        <v>32</v>
      </c>
      <c r="M10" t="s">
        <v>18</v>
      </c>
      <c r="N10">
        <v>10</v>
      </c>
      <c r="P10">
        <v>1300</v>
      </c>
      <c r="Q10">
        <v>1500</v>
      </c>
      <c r="R10" t="s">
        <v>33</v>
      </c>
      <c r="S10" t="s">
        <v>28</v>
      </c>
      <c r="T10">
        <v>180.5</v>
      </c>
      <c r="U10" t="str">
        <f>_xlfn.IFNA(_xlfn.IFS(E10&gt;Dash!$D$46, "Big", E10&lt;Dash!$D$49, "Small", E10&gt;Dash!$D$47, "Good"), "Norm")</f>
        <v>Norm</v>
      </c>
      <c r="V10" t="s">
        <v>20</v>
      </c>
      <c r="W10">
        <v>172.5</v>
      </c>
      <c r="X10" t="s">
        <v>14</v>
      </c>
      <c r="Y10">
        <v>42.75</v>
      </c>
      <c r="Z10" t="str">
        <f>_xlfn.IFNA(_xlfn.IFS(Y10&gt;Dash!$E$46, "Big", Y10&lt;Dash!$E$49, "Small", Y10&gt;Dash!$E$47, "Good"), "Norm")</f>
        <v>Norm</v>
      </c>
      <c r="AA10">
        <v>72.75</v>
      </c>
      <c r="AB10" t="str">
        <f>_xlfn.IFNA(_xlfn.IFS(AA10&gt;Dash!$F$46, "Big", AA10&lt;Dash!$F$49, "Small", AA10&gt;Dash!$F$47, "Good"), "Norm")</f>
        <v>Norm</v>
      </c>
      <c r="AC10">
        <v>195.5</v>
      </c>
      <c r="AD10" t="str">
        <f>_xlfn.IFNA(_xlfn.IFS(AC10&gt;Dash!$G$46, "Big", AC10&lt;Dash!$G$49, "Small", AC10&gt;Dash!$G$47, "Good"), "Norm")</f>
        <v>Norm</v>
      </c>
      <c r="AE10">
        <v>110.75</v>
      </c>
      <c r="AF10" t="str">
        <f>_xlfn.IFNA(_xlfn.IFS(AE10&gt;Dash!$H$46, "Big", AE10&lt;Dash!$H$49, "Small", AE10&gt;Dash!$H$47, "Good"), "Norm")</f>
        <v>Norm</v>
      </c>
      <c r="AG10">
        <v>28.75</v>
      </c>
      <c r="AH10" t="str">
        <f>_xlfn.IFNA(_xlfn.IFS(AG10&gt;Dash!$I$46, "Big", AG10&lt;Dash!$I$49, "Small", AG10&gt;Dash!$I$47, "Good"), "Norm")</f>
        <v>Norm</v>
      </c>
    </row>
    <row r="11" spans="1:34" x14ac:dyDescent="0.25">
      <c r="A11" s="1">
        <v>45183</v>
      </c>
      <c r="B11" t="s">
        <v>36</v>
      </c>
      <c r="C11" t="s">
        <v>33</v>
      </c>
      <c r="D11" t="s">
        <v>28</v>
      </c>
      <c r="E11">
        <v>180.5</v>
      </c>
      <c r="F11">
        <v>2300</v>
      </c>
      <c r="G11" t="s">
        <v>163</v>
      </c>
      <c r="J11" t="s">
        <v>29</v>
      </c>
      <c r="K11" t="s">
        <v>25</v>
      </c>
      <c r="L11" t="s">
        <v>32</v>
      </c>
      <c r="M11" t="s">
        <v>18</v>
      </c>
      <c r="N11">
        <v>10</v>
      </c>
      <c r="P11">
        <v>1400</v>
      </c>
      <c r="Q11">
        <v>1500</v>
      </c>
      <c r="R11" t="s">
        <v>13</v>
      </c>
      <c r="S11" t="s">
        <v>43</v>
      </c>
      <c r="T11">
        <v>121.5</v>
      </c>
      <c r="U11" t="str">
        <f>_xlfn.IFNA(_xlfn.IFS(E11&gt;Dash!$D$46, "Big", E11&lt;Dash!$D$49, "Small", E11&gt;Dash!$D$47, "Good"), "Norm")</f>
        <v>Norm</v>
      </c>
      <c r="V11" t="s">
        <v>33</v>
      </c>
      <c r="W11">
        <v>211.5</v>
      </c>
      <c r="X11" t="s">
        <v>46</v>
      </c>
      <c r="Y11">
        <v>70.75</v>
      </c>
      <c r="Z11" t="str">
        <f>_xlfn.IFNA(_xlfn.IFS(Y11&gt;Dash!$E$46, "Big", Y11&lt;Dash!$E$49, "Small", Y11&gt;Dash!$E$47, "Good"), "Norm")</f>
        <v>Norm</v>
      </c>
      <c r="AA11">
        <v>65</v>
      </c>
      <c r="AB11" t="str">
        <f>_xlfn.IFNA(_xlfn.IFS(AA11&gt;Dash!$F$46, "Big", AA11&lt;Dash!$F$49, "Small", AA11&gt;Dash!$F$47, "Good"), "Norm")</f>
        <v>Norm</v>
      </c>
      <c r="AC11">
        <v>161.5</v>
      </c>
      <c r="AD11" t="str">
        <f>_xlfn.IFNA(_xlfn.IFS(AC11&gt;Dash!$G$46, "Big", AC11&lt;Dash!$G$49, "Small", AC11&gt;Dash!$G$47, "Good"), "Norm")</f>
        <v>Norm</v>
      </c>
      <c r="AE11">
        <v>61.25</v>
      </c>
      <c r="AF11" t="str">
        <f>_xlfn.IFNA(_xlfn.IFS(AE11&gt;Dash!$H$46, "Big", AE11&lt;Dash!$H$49, "Small", AE11&gt;Dash!$H$47, "Good"), "Norm")</f>
        <v>Small</v>
      </c>
      <c r="AG11">
        <v>32</v>
      </c>
      <c r="AH11" t="str">
        <f>_xlfn.IFNA(_xlfn.IFS(AG11&gt;Dash!$I$46, "Big", AG11&lt;Dash!$I$49, "Small", AG11&gt;Dash!$I$47, "Good"), "Norm")</f>
        <v>Norm</v>
      </c>
    </row>
    <row r="12" spans="1:34" x14ac:dyDescent="0.25">
      <c r="A12" s="1">
        <v>45184</v>
      </c>
      <c r="B12" t="s">
        <v>26</v>
      </c>
      <c r="C12" t="s">
        <v>13</v>
      </c>
      <c r="D12" t="s">
        <v>43</v>
      </c>
      <c r="E12">
        <v>121.5</v>
      </c>
      <c r="F12" t="s">
        <v>163</v>
      </c>
      <c r="G12">
        <v>100</v>
      </c>
      <c r="J12" t="s">
        <v>29</v>
      </c>
      <c r="K12" t="s">
        <v>16</v>
      </c>
      <c r="L12" t="s">
        <v>17</v>
      </c>
      <c r="M12" t="s">
        <v>18</v>
      </c>
      <c r="N12">
        <v>10</v>
      </c>
      <c r="O12" t="s">
        <v>67</v>
      </c>
      <c r="P12">
        <v>1400</v>
      </c>
      <c r="Q12">
        <v>1500</v>
      </c>
      <c r="R12" t="s">
        <v>20</v>
      </c>
      <c r="S12" t="s">
        <v>46</v>
      </c>
      <c r="T12">
        <v>124</v>
      </c>
      <c r="U12" t="str">
        <f>_xlfn.IFNA(_xlfn.IFS(E12&gt;Dash!$D$46, "Big", E12&lt;Dash!$D$49, "Small", E12&gt;Dash!$D$47, "Good"), "Norm")</f>
        <v>Small</v>
      </c>
      <c r="V12" t="s">
        <v>33</v>
      </c>
      <c r="W12">
        <v>180.5</v>
      </c>
      <c r="X12" t="s">
        <v>28</v>
      </c>
      <c r="Y12">
        <v>49</v>
      </c>
      <c r="Z12" t="str">
        <f>_xlfn.IFNA(_xlfn.IFS(Y12&gt;Dash!$E$46, "Big", Y12&lt;Dash!$E$49, "Small", Y12&gt;Dash!$E$47, "Good"), "Norm")</f>
        <v>Norm</v>
      </c>
      <c r="AA12">
        <v>67.75</v>
      </c>
      <c r="AB12" t="str">
        <f>_xlfn.IFNA(_xlfn.IFS(AA12&gt;Dash!$F$46, "Big", AA12&lt;Dash!$F$49, "Small", AA12&gt;Dash!$F$47, "Good"), "Norm")</f>
        <v>Norm</v>
      </c>
      <c r="AC12">
        <v>113.25</v>
      </c>
      <c r="AD12" t="str">
        <f>_xlfn.IFNA(_xlfn.IFS(AC12&gt;Dash!$G$46, "Big", AC12&lt;Dash!$G$49, "Small", AC12&gt;Dash!$G$47, "Good"), "Norm")</f>
        <v>Small</v>
      </c>
      <c r="AE12">
        <v>111.25</v>
      </c>
      <c r="AF12" t="str">
        <f>_xlfn.IFNA(_xlfn.IFS(AE12&gt;Dash!$H$46, "Big", AE12&lt;Dash!$H$49, "Small", AE12&gt;Dash!$H$47, "Good"), "Norm")</f>
        <v>Norm</v>
      </c>
      <c r="AG12">
        <v>18.5</v>
      </c>
      <c r="AH12" t="str">
        <f>_xlfn.IFNA(_xlfn.IFS(AG12&gt;Dash!$I$46, "Big", AG12&lt;Dash!$I$49, "Small", AG12&gt;Dash!$I$47, "Good"), "Norm")</f>
        <v>Small</v>
      </c>
    </row>
    <row r="13" spans="1:34" x14ac:dyDescent="0.25">
      <c r="A13" s="1">
        <v>45187</v>
      </c>
      <c r="B13" t="s">
        <v>23</v>
      </c>
      <c r="C13" t="s">
        <v>20</v>
      </c>
      <c r="D13" t="s">
        <v>46</v>
      </c>
      <c r="E13">
        <v>124</v>
      </c>
      <c r="F13">
        <v>700</v>
      </c>
      <c r="G13">
        <v>800</v>
      </c>
      <c r="J13" t="s">
        <v>15</v>
      </c>
      <c r="K13" t="s">
        <v>39</v>
      </c>
      <c r="L13" t="s">
        <v>32</v>
      </c>
      <c r="M13" t="s">
        <v>18</v>
      </c>
      <c r="N13">
        <v>7</v>
      </c>
      <c r="P13">
        <v>1200</v>
      </c>
      <c r="Q13">
        <v>1400</v>
      </c>
      <c r="R13" t="s">
        <v>33</v>
      </c>
      <c r="S13" t="s">
        <v>14</v>
      </c>
      <c r="T13">
        <v>179.5</v>
      </c>
      <c r="U13" t="str">
        <f>_xlfn.IFNA(_xlfn.IFS(E13&gt;Dash!$D$46, "Big", E13&lt;Dash!$D$49, "Small", E13&gt;Dash!$D$47, "Good"), "Norm")</f>
        <v>Small</v>
      </c>
      <c r="V13" t="s">
        <v>13</v>
      </c>
      <c r="W13">
        <v>121.5</v>
      </c>
      <c r="X13" t="s">
        <v>43</v>
      </c>
      <c r="Y13">
        <v>40.25</v>
      </c>
      <c r="Z13" t="str">
        <f>_xlfn.IFNA(_xlfn.IFS(Y13&gt;Dash!$E$46, "Big", Y13&lt;Dash!$E$49, "Small", Y13&gt;Dash!$E$47, "Good"), "Norm")</f>
        <v>Small</v>
      </c>
      <c r="AA13">
        <v>98.25</v>
      </c>
      <c r="AB13" t="str">
        <f>_xlfn.IFNA(_xlfn.IFS(AA13&gt;Dash!$F$46, "Big", AA13&lt;Dash!$F$49, "Small", AA13&gt;Dash!$F$47, "Good"), "Norm")</f>
        <v>Good</v>
      </c>
      <c r="AC13">
        <v>115.5</v>
      </c>
      <c r="AD13" t="str">
        <f>_xlfn.IFNA(_xlfn.IFS(AC13&gt;Dash!$G$46, "Big", AC13&lt;Dash!$G$49, "Small", AC13&gt;Dash!$G$47, "Good"), "Norm")</f>
        <v>Norm</v>
      </c>
      <c r="AE13">
        <v>82</v>
      </c>
      <c r="AF13" t="str">
        <f>_xlfn.IFNA(_xlfn.IFS(AE13&gt;Dash!$H$46, "Big", AE13&lt;Dash!$H$49, "Small", AE13&gt;Dash!$H$47, "Good"), "Norm")</f>
        <v>Small</v>
      </c>
      <c r="AG13">
        <v>18.75</v>
      </c>
      <c r="AH13" t="str">
        <f>_xlfn.IFNA(_xlfn.IFS(AG13&gt;Dash!$I$46, "Big", AG13&lt;Dash!$I$49, "Small", AG13&gt;Dash!$I$47, "Good"), "Norm")</f>
        <v>Small</v>
      </c>
    </row>
    <row r="14" spans="1:34" x14ac:dyDescent="0.25">
      <c r="A14" s="1">
        <v>45188</v>
      </c>
      <c r="B14" t="s">
        <v>19</v>
      </c>
      <c r="C14" t="s">
        <v>33</v>
      </c>
      <c r="D14" t="s">
        <v>14</v>
      </c>
      <c r="E14">
        <v>179.5</v>
      </c>
      <c r="F14">
        <v>900</v>
      </c>
      <c r="G14">
        <v>1300</v>
      </c>
      <c r="J14" t="s">
        <v>45</v>
      </c>
      <c r="K14" t="s">
        <v>35</v>
      </c>
      <c r="L14" t="s">
        <v>25</v>
      </c>
      <c r="M14" t="s">
        <v>18</v>
      </c>
      <c r="N14">
        <v>7</v>
      </c>
      <c r="P14">
        <v>1400</v>
      </c>
      <c r="Q14">
        <v>1500</v>
      </c>
      <c r="R14" t="s">
        <v>33</v>
      </c>
      <c r="S14" t="s">
        <v>14</v>
      </c>
      <c r="T14">
        <v>288.75</v>
      </c>
      <c r="U14" t="str">
        <f>_xlfn.IFNA(_xlfn.IFS(E14&gt;Dash!$D$46, "Big", E14&lt;Dash!$D$49, "Small", E14&gt;Dash!$D$47, "Good"), "Norm")</f>
        <v>Norm</v>
      </c>
      <c r="V14" t="s">
        <v>20</v>
      </c>
      <c r="W14">
        <v>124</v>
      </c>
      <c r="X14" t="s">
        <v>46</v>
      </c>
      <c r="Y14">
        <v>50.25</v>
      </c>
      <c r="Z14" t="str">
        <f>_xlfn.IFNA(_xlfn.IFS(Y14&gt;Dash!$E$46, "Big", Y14&lt;Dash!$E$49, "Small", Y14&gt;Dash!$E$47, "Good"), "Norm")</f>
        <v>Norm</v>
      </c>
      <c r="AA14">
        <v>62.75</v>
      </c>
      <c r="AB14" t="str">
        <f>_xlfn.IFNA(_xlfn.IFS(AA14&gt;Dash!$F$46, "Big", AA14&lt;Dash!$F$49, "Small", AA14&gt;Dash!$F$47, "Good"), "Norm")</f>
        <v>Norm</v>
      </c>
      <c r="AC14">
        <v>179.5</v>
      </c>
      <c r="AD14" t="str">
        <f>_xlfn.IFNA(_xlfn.IFS(AC14&gt;Dash!$G$46, "Big", AC14&lt;Dash!$G$49, "Small", AC14&gt;Dash!$G$47, "Good"), "Norm")</f>
        <v>Norm</v>
      </c>
      <c r="AE14">
        <v>150</v>
      </c>
      <c r="AF14" t="str">
        <f>_xlfn.IFNA(_xlfn.IFS(AE14&gt;Dash!$H$46, "Big", AE14&lt;Dash!$H$49, "Small", AE14&gt;Dash!$H$47, "Good"), "Norm")</f>
        <v>Norm</v>
      </c>
      <c r="AG14">
        <v>12.5</v>
      </c>
      <c r="AH14" t="str">
        <f>_xlfn.IFNA(_xlfn.IFS(AG14&gt;Dash!$I$46, "Big", AG14&lt;Dash!$I$49, "Small", AG14&gt;Dash!$I$47, "Good"), "Norm")</f>
        <v>Small</v>
      </c>
    </row>
    <row r="15" spans="1:34" x14ac:dyDescent="0.25">
      <c r="A15" s="1">
        <v>45189</v>
      </c>
      <c r="B15" t="s">
        <v>18</v>
      </c>
      <c r="C15" t="s">
        <v>33</v>
      </c>
      <c r="D15" t="s">
        <v>14</v>
      </c>
      <c r="E15">
        <v>288.75</v>
      </c>
      <c r="F15">
        <v>1500</v>
      </c>
      <c r="J15" t="s">
        <v>21</v>
      </c>
      <c r="K15" t="s">
        <v>35</v>
      </c>
      <c r="L15" t="s">
        <v>17</v>
      </c>
      <c r="M15" t="s">
        <v>18</v>
      </c>
      <c r="N15">
        <v>7</v>
      </c>
      <c r="P15">
        <v>1400</v>
      </c>
      <c r="Q15">
        <v>1600</v>
      </c>
      <c r="R15" t="s">
        <v>13</v>
      </c>
      <c r="S15" t="s">
        <v>14</v>
      </c>
      <c r="T15">
        <v>161</v>
      </c>
      <c r="U15" t="str">
        <f>_xlfn.IFNA(_xlfn.IFS(E15&gt;Dash!$D$46, "Big", E15&lt;Dash!$D$49, "Small", E15&gt;Dash!$D$47, "Good"), "Norm")</f>
        <v>Good</v>
      </c>
      <c r="V15" t="s">
        <v>33</v>
      </c>
      <c r="W15">
        <v>179.5</v>
      </c>
      <c r="X15" t="s">
        <v>14</v>
      </c>
      <c r="Y15">
        <v>44.5</v>
      </c>
      <c r="Z15" t="str">
        <f>_xlfn.IFNA(_xlfn.IFS(Y15&gt;Dash!$E$46, "Big", Y15&lt;Dash!$E$49, "Small", Y15&gt;Dash!$E$47, "Good"), "Norm")</f>
        <v>Norm</v>
      </c>
      <c r="AA15">
        <v>62.5</v>
      </c>
      <c r="AB15" t="str">
        <f>_xlfn.IFNA(_xlfn.IFS(AA15&gt;Dash!$F$46, "Big", AA15&lt;Dash!$F$49, "Small", AA15&gt;Dash!$F$47, "Good"), "Norm")</f>
        <v>Norm</v>
      </c>
      <c r="AC15">
        <v>107.75</v>
      </c>
      <c r="AD15" t="str">
        <f>_xlfn.IFNA(_xlfn.IFS(AC15&gt;Dash!$G$46, "Big", AC15&lt;Dash!$G$49, "Small", AC15&gt;Dash!$G$47, "Good"), "Norm")</f>
        <v>Small</v>
      </c>
      <c r="AE15">
        <v>244.5</v>
      </c>
      <c r="AF15" t="str">
        <f>_xlfn.IFNA(_xlfn.IFS(AE15&gt;Dash!$H$46, "Big", AE15&lt;Dash!$H$49, "Small", AE15&gt;Dash!$H$47, "Good"), "Norm")</f>
        <v>Big</v>
      </c>
      <c r="AG15">
        <v>31.25</v>
      </c>
      <c r="AH15" t="str">
        <f>_xlfn.IFNA(_xlfn.IFS(AG15&gt;Dash!$I$46, "Big", AG15&lt;Dash!$I$49, "Small", AG15&gt;Dash!$I$47, "Good"), "Norm")</f>
        <v>Norm</v>
      </c>
    </row>
    <row r="16" spans="1:34" x14ac:dyDescent="0.25">
      <c r="A16" s="1">
        <v>45190</v>
      </c>
      <c r="B16" t="s">
        <v>36</v>
      </c>
      <c r="C16" t="s">
        <v>13</v>
      </c>
      <c r="D16" t="s">
        <v>14</v>
      </c>
      <c r="E16">
        <v>161</v>
      </c>
      <c r="F16">
        <v>1800</v>
      </c>
      <c r="J16" t="s">
        <v>37</v>
      </c>
      <c r="K16" t="s">
        <v>16</v>
      </c>
      <c r="L16" t="s">
        <v>42</v>
      </c>
      <c r="M16" t="s">
        <v>18</v>
      </c>
      <c r="N16">
        <v>7</v>
      </c>
      <c r="P16">
        <v>1300</v>
      </c>
      <c r="Q16">
        <v>1600</v>
      </c>
      <c r="R16" t="s">
        <v>24</v>
      </c>
      <c r="S16" t="s">
        <v>46</v>
      </c>
      <c r="T16">
        <v>175</v>
      </c>
      <c r="U16" t="str">
        <f>_xlfn.IFNA(_xlfn.IFS(E16&gt;Dash!$D$46, "Big", E16&lt;Dash!$D$49, "Small", E16&gt;Dash!$D$47, "Good"), "Norm")</f>
        <v>Norm</v>
      </c>
      <c r="V16" t="s">
        <v>33</v>
      </c>
      <c r="W16">
        <v>288.75</v>
      </c>
      <c r="X16" t="s">
        <v>14</v>
      </c>
      <c r="Y16">
        <v>69.25</v>
      </c>
      <c r="Z16" t="str">
        <f>_xlfn.IFNA(_xlfn.IFS(Y16&gt;Dash!$E$46, "Big", Y16&lt;Dash!$E$49, "Small", Y16&gt;Dash!$E$47, "Good"), "Norm")</f>
        <v>Norm</v>
      </c>
      <c r="AA16">
        <v>131</v>
      </c>
      <c r="AB16" t="str">
        <f>_xlfn.IFNA(_xlfn.IFS(AA16&gt;Dash!$F$46, "Big", AA16&lt;Dash!$F$49, "Small", AA16&gt;Dash!$F$47, "Good"), "Norm")</f>
        <v>Good</v>
      </c>
      <c r="AC16">
        <v>101.25</v>
      </c>
      <c r="AD16" t="str">
        <f>_xlfn.IFNA(_xlfn.IFS(AC16&gt;Dash!$G$46, "Big", AC16&lt;Dash!$G$49, "Small", AC16&gt;Dash!$G$47, "Good"), "Norm")</f>
        <v>Small</v>
      </c>
      <c r="AE16">
        <v>141.75</v>
      </c>
      <c r="AF16" t="str">
        <f>_xlfn.IFNA(_xlfn.IFS(AE16&gt;Dash!$H$46, "Big", AE16&lt;Dash!$H$49, "Small", AE16&gt;Dash!$H$47, "Good"), "Norm")</f>
        <v>Norm</v>
      </c>
      <c r="AG16">
        <v>28.75</v>
      </c>
      <c r="AH16" t="str">
        <f>_xlfn.IFNA(_xlfn.IFS(AG16&gt;Dash!$I$46, "Big", AG16&lt;Dash!$I$49, "Small", AG16&gt;Dash!$I$47, "Good"), "Norm")</f>
        <v>Norm</v>
      </c>
    </row>
    <row r="17" spans="1:34" x14ac:dyDescent="0.25">
      <c r="A17" s="1">
        <v>45191</v>
      </c>
      <c r="B17" t="s">
        <v>26</v>
      </c>
      <c r="C17" t="s">
        <v>24</v>
      </c>
      <c r="D17" t="s">
        <v>46</v>
      </c>
      <c r="E17">
        <v>175</v>
      </c>
      <c r="F17">
        <v>2000</v>
      </c>
      <c r="G17">
        <v>2000</v>
      </c>
      <c r="J17" t="s">
        <v>37</v>
      </c>
      <c r="K17" t="s">
        <v>31</v>
      </c>
      <c r="L17" t="s">
        <v>35</v>
      </c>
      <c r="M17" t="s">
        <v>18</v>
      </c>
      <c r="N17">
        <v>7</v>
      </c>
      <c r="P17">
        <v>1500</v>
      </c>
      <c r="Q17">
        <v>1500</v>
      </c>
      <c r="R17" t="s">
        <v>33</v>
      </c>
      <c r="S17" t="s">
        <v>46</v>
      </c>
      <c r="T17">
        <v>157</v>
      </c>
      <c r="U17" t="str">
        <f>_xlfn.IFNA(_xlfn.IFS(E17&gt;Dash!$D$46, "Big", E17&lt;Dash!$D$49, "Small", E17&gt;Dash!$D$47, "Good"), "Norm")</f>
        <v>Norm</v>
      </c>
      <c r="V17" t="s">
        <v>13</v>
      </c>
      <c r="W17">
        <v>161</v>
      </c>
      <c r="X17" t="s">
        <v>14</v>
      </c>
      <c r="Y17">
        <v>78.25</v>
      </c>
      <c r="Z17" t="str">
        <f>_xlfn.IFNA(_xlfn.IFS(Y17&gt;Dash!$E$46, "Big", Y17&lt;Dash!$E$49, "Small", Y17&gt;Dash!$E$47, "Good"), "Norm")</f>
        <v>Good</v>
      </c>
      <c r="AA17">
        <v>49.5</v>
      </c>
      <c r="AB17" t="str">
        <f>_xlfn.IFNA(_xlfn.IFS(AA17&gt;Dash!$F$46, "Big", AA17&lt;Dash!$F$49, "Small", AA17&gt;Dash!$F$47, "Good"), "Norm")</f>
        <v>Small</v>
      </c>
      <c r="AC17">
        <v>139.5</v>
      </c>
      <c r="AD17" t="str">
        <f>_xlfn.IFNA(_xlfn.IFS(AC17&gt;Dash!$G$46, "Big", AC17&lt;Dash!$G$49, "Small", AC17&gt;Dash!$G$47, "Good"), "Norm")</f>
        <v>Norm</v>
      </c>
      <c r="AE17">
        <v>170.75</v>
      </c>
      <c r="AF17" t="str">
        <f>_xlfn.IFNA(_xlfn.IFS(AE17&gt;Dash!$H$46, "Big", AE17&lt;Dash!$H$49, "Small", AE17&gt;Dash!$H$47, "Good"), "Norm")</f>
        <v>Good</v>
      </c>
      <c r="AG17">
        <v>26.25</v>
      </c>
      <c r="AH17" t="str">
        <f>_xlfn.IFNA(_xlfn.IFS(AG17&gt;Dash!$I$46, "Big", AG17&lt;Dash!$I$49, "Small", AG17&gt;Dash!$I$47, "Good"), "Norm")</f>
        <v>Norm</v>
      </c>
    </row>
    <row r="18" spans="1:34" x14ac:dyDescent="0.25">
      <c r="A18" s="1">
        <v>45194</v>
      </c>
      <c r="B18" t="s">
        <v>23</v>
      </c>
      <c r="C18" t="s">
        <v>33</v>
      </c>
      <c r="D18" t="s">
        <v>46</v>
      </c>
      <c r="E18">
        <v>157</v>
      </c>
      <c r="F18">
        <v>400</v>
      </c>
      <c r="G18">
        <v>400</v>
      </c>
      <c r="J18" t="s">
        <v>15</v>
      </c>
      <c r="K18" t="s">
        <v>25</v>
      </c>
      <c r="L18" t="s">
        <v>44</v>
      </c>
      <c r="M18" t="s">
        <v>19</v>
      </c>
      <c r="N18">
        <v>6</v>
      </c>
      <c r="P18">
        <v>1500</v>
      </c>
      <c r="Q18">
        <v>1600</v>
      </c>
      <c r="R18" t="s">
        <v>13</v>
      </c>
      <c r="S18" t="s">
        <v>14</v>
      </c>
      <c r="T18">
        <v>226.75</v>
      </c>
      <c r="U18" t="str">
        <f>_xlfn.IFNA(_xlfn.IFS(E18&gt;Dash!$D$46, "Big", E18&lt;Dash!$D$49, "Small", E18&gt;Dash!$D$47, "Good"), "Norm")</f>
        <v>Norm</v>
      </c>
      <c r="V18" t="s">
        <v>24</v>
      </c>
      <c r="W18">
        <v>175</v>
      </c>
      <c r="X18" t="s">
        <v>46</v>
      </c>
      <c r="Y18">
        <v>65.75</v>
      </c>
      <c r="Z18" t="str">
        <f>_xlfn.IFNA(_xlfn.IFS(Y18&gt;Dash!$E$46, "Big", Y18&lt;Dash!$E$49, "Small", Y18&gt;Dash!$E$47, "Good"), "Norm")</f>
        <v>Norm</v>
      </c>
      <c r="AA18">
        <v>149</v>
      </c>
      <c r="AB18" t="str">
        <f>_xlfn.IFNA(_xlfn.IFS(AA18&gt;Dash!$F$46, "Big", AA18&lt;Dash!$F$49, "Small", AA18&gt;Dash!$F$47, "Good"), "Norm")</f>
        <v>Good</v>
      </c>
      <c r="AC18">
        <v>140.75</v>
      </c>
      <c r="AD18" t="str">
        <f>_xlfn.IFNA(_xlfn.IFS(AC18&gt;Dash!$G$46, "Big", AC18&lt;Dash!$G$49, "Small", AC18&gt;Dash!$G$47, "Good"), "Norm")</f>
        <v>Norm</v>
      </c>
      <c r="AE18">
        <v>96.75</v>
      </c>
      <c r="AF18" t="str">
        <f>_xlfn.IFNA(_xlfn.IFS(AE18&gt;Dash!$H$46, "Big", AE18&lt;Dash!$H$49, "Small", AE18&gt;Dash!$H$47, "Good"), "Norm")</f>
        <v>Norm</v>
      </c>
      <c r="AG18">
        <v>22</v>
      </c>
      <c r="AH18" t="str">
        <f>_xlfn.IFNA(_xlfn.IFS(AG18&gt;Dash!$I$46, "Big", AG18&lt;Dash!$I$49, "Small", AG18&gt;Dash!$I$47, "Good"), "Norm")</f>
        <v>Norm</v>
      </c>
    </row>
    <row r="19" spans="1:34" x14ac:dyDescent="0.25">
      <c r="A19" s="1">
        <v>45195</v>
      </c>
      <c r="B19" t="s">
        <v>19</v>
      </c>
      <c r="C19" t="s">
        <v>13</v>
      </c>
      <c r="D19" t="s">
        <v>14</v>
      </c>
      <c r="E19">
        <v>226.75</v>
      </c>
      <c r="F19">
        <v>900</v>
      </c>
      <c r="J19" t="s">
        <v>45</v>
      </c>
      <c r="K19" t="s">
        <v>16</v>
      </c>
      <c r="L19" t="s">
        <v>17</v>
      </c>
      <c r="M19" t="s">
        <v>19</v>
      </c>
      <c r="N19">
        <v>6</v>
      </c>
      <c r="P19">
        <v>1300</v>
      </c>
      <c r="Q19">
        <v>1500</v>
      </c>
      <c r="R19" t="s">
        <v>33</v>
      </c>
      <c r="S19" t="s">
        <v>46</v>
      </c>
      <c r="T19">
        <v>235.5</v>
      </c>
      <c r="U19" t="str">
        <f>_xlfn.IFNA(_xlfn.IFS(E19&gt;Dash!$D$46, "Big", E19&lt;Dash!$D$49, "Small", E19&gt;Dash!$D$47, "Good"), "Norm")</f>
        <v>Norm</v>
      </c>
      <c r="V19" t="s">
        <v>33</v>
      </c>
      <c r="W19">
        <v>157</v>
      </c>
      <c r="X19" t="s">
        <v>46</v>
      </c>
      <c r="Y19">
        <v>96.75</v>
      </c>
      <c r="Z19" t="str">
        <f>_xlfn.IFNA(_xlfn.IFS(Y19&gt;Dash!$E$46, "Big", Y19&lt;Dash!$E$49, "Small", Y19&gt;Dash!$E$47, "Good"), "Norm")</f>
        <v>Good</v>
      </c>
      <c r="AA19">
        <v>93.75</v>
      </c>
      <c r="AB19" t="str">
        <f>_xlfn.IFNA(_xlfn.IFS(AA19&gt;Dash!$F$46, "Big", AA19&lt;Dash!$F$49, "Small", AA19&gt;Dash!$F$47, "Good"), "Norm")</f>
        <v>Norm</v>
      </c>
      <c r="AC19">
        <v>168.5</v>
      </c>
      <c r="AD19" t="str">
        <f>_xlfn.IFNA(_xlfn.IFS(AC19&gt;Dash!$G$46, "Big", AC19&lt;Dash!$G$49, "Small", AC19&gt;Dash!$G$47, "Good"), "Norm")</f>
        <v>Norm</v>
      </c>
      <c r="AE19">
        <v>117.75</v>
      </c>
      <c r="AF19" t="str">
        <f>_xlfn.IFNA(_xlfn.IFS(AE19&gt;Dash!$H$46, "Big", AE19&lt;Dash!$H$49, "Small", AE19&gt;Dash!$H$47, "Good"), "Norm")</f>
        <v>Norm</v>
      </c>
      <c r="AG19">
        <v>28.75</v>
      </c>
      <c r="AH19" t="str">
        <f>_xlfn.IFNA(_xlfn.IFS(AG19&gt;Dash!$I$46, "Big", AG19&lt;Dash!$I$49, "Small", AG19&gt;Dash!$I$47, "Good"), "Norm")</f>
        <v>Norm</v>
      </c>
    </row>
    <row r="20" spans="1:34" x14ac:dyDescent="0.25">
      <c r="A20" s="1">
        <v>45196</v>
      </c>
      <c r="B20" t="s">
        <v>18</v>
      </c>
      <c r="C20" t="s">
        <v>33</v>
      </c>
      <c r="D20" t="s">
        <v>46</v>
      </c>
      <c r="E20">
        <v>235.5</v>
      </c>
      <c r="F20">
        <v>1200</v>
      </c>
      <c r="G20">
        <v>1400</v>
      </c>
      <c r="J20" t="s">
        <v>21</v>
      </c>
      <c r="K20" t="s">
        <v>17</v>
      </c>
      <c r="L20" t="s">
        <v>32</v>
      </c>
      <c r="M20" t="s">
        <v>19</v>
      </c>
      <c r="N20">
        <v>6</v>
      </c>
      <c r="P20">
        <v>1300</v>
      </c>
      <c r="Q20">
        <v>1500</v>
      </c>
      <c r="R20" t="s">
        <v>33</v>
      </c>
      <c r="S20" t="s">
        <v>28</v>
      </c>
      <c r="T20">
        <v>289.5</v>
      </c>
      <c r="U20" t="str">
        <f>_xlfn.IFNA(_xlfn.IFS(E20&gt;Dash!$D$46, "Big", E20&lt;Dash!$D$49, "Small", E20&gt;Dash!$D$47, "Good"), "Norm")</f>
        <v>Norm</v>
      </c>
      <c r="V20" t="s">
        <v>13</v>
      </c>
      <c r="W20">
        <v>226.75</v>
      </c>
      <c r="X20" t="s">
        <v>14</v>
      </c>
      <c r="Y20">
        <v>48.75</v>
      </c>
      <c r="Z20" t="str">
        <f>_xlfn.IFNA(_xlfn.IFS(Y20&gt;Dash!$E$46, "Big", Y20&lt;Dash!$E$49, "Small", Y20&gt;Dash!$E$47, "Good"), "Norm")</f>
        <v>Norm</v>
      </c>
      <c r="AA20">
        <v>51.75</v>
      </c>
      <c r="AB20" t="str">
        <f>_xlfn.IFNA(_xlfn.IFS(AA20&gt;Dash!$F$46, "Big", AA20&lt;Dash!$F$49, "Small", AA20&gt;Dash!$F$47, "Good"), "Norm")</f>
        <v>Small</v>
      </c>
      <c r="AC20">
        <v>133.25</v>
      </c>
      <c r="AD20" t="str">
        <f>_xlfn.IFNA(_xlfn.IFS(AC20&gt;Dash!$G$46, "Big", AC20&lt;Dash!$G$49, "Small", AC20&gt;Dash!$G$47, "Good"), "Norm")</f>
        <v>Norm</v>
      </c>
      <c r="AE20">
        <v>235.5</v>
      </c>
      <c r="AF20" t="str">
        <f>_xlfn.IFNA(_xlfn.IFS(AE20&gt;Dash!$H$46, "Big", AE20&lt;Dash!$H$49, "Small", AE20&gt;Dash!$H$47, "Good"), "Norm")</f>
        <v>Big</v>
      </c>
      <c r="AG20">
        <v>41</v>
      </c>
      <c r="AH20" t="str">
        <f>_xlfn.IFNA(_xlfn.IFS(AG20&gt;Dash!$I$46, "Big", AG20&lt;Dash!$I$49, "Small", AG20&gt;Dash!$I$47, "Good"), "Norm")</f>
        <v>Good</v>
      </c>
    </row>
    <row r="21" spans="1:34" x14ac:dyDescent="0.25">
      <c r="A21" s="1">
        <v>45197</v>
      </c>
      <c r="B21" t="s">
        <v>36</v>
      </c>
      <c r="C21" t="s">
        <v>33</v>
      </c>
      <c r="D21" t="s">
        <v>28</v>
      </c>
      <c r="E21">
        <v>289.5</v>
      </c>
      <c r="F21">
        <v>1100</v>
      </c>
      <c r="J21" t="s">
        <v>27</v>
      </c>
      <c r="K21" t="s">
        <v>25</v>
      </c>
      <c r="L21" t="s">
        <v>35</v>
      </c>
      <c r="M21" t="s">
        <v>19</v>
      </c>
      <c r="N21">
        <v>6</v>
      </c>
      <c r="P21">
        <v>1400</v>
      </c>
      <c r="Q21">
        <v>1500</v>
      </c>
      <c r="R21" t="s">
        <v>33</v>
      </c>
      <c r="S21" t="s">
        <v>43</v>
      </c>
      <c r="T21">
        <v>249.75</v>
      </c>
      <c r="U21" t="str">
        <f>_xlfn.IFNA(_xlfn.IFS(E21&gt;Dash!$D$46, "Big", E21&lt;Dash!$D$49, "Small", E21&gt;Dash!$D$47, "Good"), "Norm")</f>
        <v>Good</v>
      </c>
      <c r="V21" t="s">
        <v>33</v>
      </c>
      <c r="W21">
        <v>235.5</v>
      </c>
      <c r="X21" t="s">
        <v>46</v>
      </c>
      <c r="Y21">
        <v>81.25</v>
      </c>
      <c r="Z21" t="str">
        <f>_xlfn.IFNA(_xlfn.IFS(Y21&gt;Dash!$E$46, "Big", Y21&lt;Dash!$E$49, "Small", Y21&gt;Dash!$E$47, "Good"), "Norm")</f>
        <v>Good</v>
      </c>
      <c r="AA21">
        <v>96</v>
      </c>
      <c r="AB21" t="str">
        <f>_xlfn.IFNA(_xlfn.IFS(AA21&gt;Dash!$F$46, "Big", AA21&lt;Dash!$F$49, "Small", AA21&gt;Dash!$F$47, "Good"), "Norm")</f>
        <v>Norm</v>
      </c>
      <c r="AC21">
        <v>252.75</v>
      </c>
      <c r="AD21" t="str">
        <f>_xlfn.IFNA(_xlfn.IFS(AC21&gt;Dash!$G$46, "Big", AC21&lt;Dash!$G$49, "Small", AC21&gt;Dash!$G$47, "Good"), "Norm")</f>
        <v>Good</v>
      </c>
      <c r="AE21">
        <v>136.25</v>
      </c>
      <c r="AF21" t="str">
        <f>_xlfn.IFNA(_xlfn.IFS(AE21&gt;Dash!$H$46, "Big", AE21&lt;Dash!$H$49, "Small", AE21&gt;Dash!$H$47, "Good"), "Norm")</f>
        <v>Norm</v>
      </c>
      <c r="AG21">
        <v>33.25</v>
      </c>
      <c r="AH21" t="str">
        <f>_xlfn.IFNA(_xlfn.IFS(AG21&gt;Dash!$I$46, "Big", AG21&lt;Dash!$I$49, "Small", AG21&gt;Dash!$I$47, "Good"), "Norm")</f>
        <v>Norm</v>
      </c>
    </row>
    <row r="22" spans="1:34" x14ac:dyDescent="0.25">
      <c r="A22" s="1">
        <v>45198</v>
      </c>
      <c r="B22" t="s">
        <v>26</v>
      </c>
      <c r="C22" t="s">
        <v>33</v>
      </c>
      <c r="D22" t="s">
        <v>43</v>
      </c>
      <c r="E22">
        <v>249.75</v>
      </c>
      <c r="F22">
        <v>300</v>
      </c>
      <c r="G22">
        <v>300</v>
      </c>
      <c r="J22" t="s">
        <v>30</v>
      </c>
      <c r="K22" t="s">
        <v>35</v>
      </c>
      <c r="L22" t="s">
        <v>17</v>
      </c>
      <c r="M22" t="s">
        <v>19</v>
      </c>
      <c r="N22">
        <v>6</v>
      </c>
      <c r="P22">
        <v>1400</v>
      </c>
      <c r="Q22">
        <v>1500</v>
      </c>
      <c r="R22" t="s">
        <v>33</v>
      </c>
      <c r="S22">
        <v>1</v>
      </c>
      <c r="T22">
        <v>220</v>
      </c>
      <c r="U22" t="str">
        <f>_xlfn.IFNA(_xlfn.IFS(E22&gt;Dash!$D$46, "Big", E22&lt;Dash!$D$49, "Small", E22&gt;Dash!$D$47, "Good"), "Norm")</f>
        <v>Norm</v>
      </c>
      <c r="V22" t="s">
        <v>33</v>
      </c>
      <c r="W22">
        <v>289.5</v>
      </c>
      <c r="X22" t="s">
        <v>28</v>
      </c>
      <c r="Y22">
        <v>73</v>
      </c>
      <c r="Z22" t="str">
        <f>_xlfn.IFNA(_xlfn.IFS(Y22&gt;Dash!$E$46, "Big", Y22&lt;Dash!$E$49, "Small", Y22&gt;Dash!$E$47, "Good"), "Norm")</f>
        <v>Norm</v>
      </c>
      <c r="AA22">
        <v>94.5</v>
      </c>
      <c r="AB22" t="str">
        <f>_xlfn.IFNA(_xlfn.IFS(AA22&gt;Dash!$F$46, "Big", AA22&lt;Dash!$F$49, "Small", AA22&gt;Dash!$F$47, "Good"), "Norm")</f>
        <v>Norm</v>
      </c>
      <c r="AC22">
        <v>153</v>
      </c>
      <c r="AD22" t="str">
        <f>_xlfn.IFNA(_xlfn.IFS(AC22&gt;Dash!$G$46, "Big", AC22&lt;Dash!$G$49, "Small", AC22&gt;Dash!$G$47, "Good"), "Norm")</f>
        <v>Norm</v>
      </c>
      <c r="AE22">
        <v>154.75</v>
      </c>
      <c r="AF22" t="str">
        <f>_xlfn.IFNA(_xlfn.IFS(AE22&gt;Dash!$H$46, "Big", AE22&lt;Dash!$H$49, "Small", AE22&gt;Dash!$H$47, "Good"), "Norm")</f>
        <v>Good</v>
      </c>
      <c r="AG22">
        <v>56</v>
      </c>
      <c r="AH22" t="str">
        <f>_xlfn.IFNA(_xlfn.IFS(AG22&gt;Dash!$I$46, "Big", AG22&lt;Dash!$I$49, "Small", AG22&gt;Dash!$I$47, "Good"), "Norm")</f>
        <v>Good</v>
      </c>
    </row>
    <row r="23" spans="1:34" x14ac:dyDescent="0.25">
      <c r="A23" s="1">
        <v>45201</v>
      </c>
      <c r="B23" t="s">
        <v>23</v>
      </c>
      <c r="C23" t="s">
        <v>33</v>
      </c>
      <c r="D23">
        <v>1</v>
      </c>
      <c r="E23">
        <v>220</v>
      </c>
      <c r="J23" t="s">
        <v>34</v>
      </c>
      <c r="K23" t="s">
        <v>25</v>
      </c>
      <c r="L23" t="s">
        <v>35</v>
      </c>
      <c r="M23" t="s">
        <v>23</v>
      </c>
      <c r="N23">
        <v>9</v>
      </c>
      <c r="P23">
        <v>1400</v>
      </c>
      <c r="Q23">
        <v>1600</v>
      </c>
      <c r="R23" t="s">
        <v>20</v>
      </c>
      <c r="S23" t="s">
        <v>14</v>
      </c>
      <c r="T23">
        <v>323.25</v>
      </c>
      <c r="U23" t="str">
        <f>_xlfn.IFNA(_xlfn.IFS(E23&gt;Dash!$D$46, "Big", E23&lt;Dash!$D$49, "Small", E23&gt;Dash!$D$47, "Good"), "Norm")</f>
        <v>Norm</v>
      </c>
      <c r="V23" t="s">
        <v>33</v>
      </c>
      <c r="W23">
        <v>249.75</v>
      </c>
      <c r="X23" t="s">
        <v>43</v>
      </c>
      <c r="Y23">
        <v>75.75</v>
      </c>
      <c r="Z23" t="str">
        <f>_xlfn.IFNA(_xlfn.IFS(Y23&gt;Dash!$E$46, "Big", Y23&lt;Dash!$E$49, "Small", Y23&gt;Dash!$E$47, "Good"), "Norm")</f>
        <v>Norm</v>
      </c>
      <c r="AA23">
        <v>144.5</v>
      </c>
      <c r="AB23" t="str">
        <f>_xlfn.IFNA(_xlfn.IFS(AA23&gt;Dash!$F$46, "Big", AA23&lt;Dash!$F$49, "Small", AA23&gt;Dash!$F$47, "Good"), "Norm")</f>
        <v>Good</v>
      </c>
      <c r="AC23">
        <v>220</v>
      </c>
      <c r="AD23" t="str">
        <f>_xlfn.IFNA(_xlfn.IFS(AC23&gt;Dash!$G$46, "Big", AC23&lt;Dash!$G$49, "Small", AC23&gt;Dash!$G$47, "Good"), "Norm")</f>
        <v>Good</v>
      </c>
      <c r="AE23">
        <v>125</v>
      </c>
      <c r="AF23" t="str">
        <f>_xlfn.IFNA(_xlfn.IFS(AE23&gt;Dash!$H$46, "Big", AE23&lt;Dash!$H$49, "Small", AE23&gt;Dash!$H$47, "Good"), "Norm")</f>
        <v>Norm</v>
      </c>
      <c r="AG23">
        <v>18.5</v>
      </c>
      <c r="AH23" t="str">
        <f>_xlfn.IFNA(_xlfn.IFS(AG23&gt;Dash!$I$46, "Big", AG23&lt;Dash!$I$49, "Small", AG23&gt;Dash!$I$47, "Good"), "Norm")</f>
        <v>Small</v>
      </c>
    </row>
    <row r="24" spans="1:34" x14ac:dyDescent="0.25">
      <c r="A24" s="1">
        <v>45202</v>
      </c>
      <c r="B24" t="s">
        <v>19</v>
      </c>
      <c r="C24" t="s">
        <v>20</v>
      </c>
      <c r="D24" t="s">
        <v>14</v>
      </c>
      <c r="E24">
        <v>323.25</v>
      </c>
      <c r="F24">
        <v>1000</v>
      </c>
      <c r="J24" t="s">
        <v>45</v>
      </c>
      <c r="K24" t="s">
        <v>22</v>
      </c>
      <c r="L24" t="s">
        <v>17</v>
      </c>
      <c r="M24" t="s">
        <v>23</v>
      </c>
      <c r="N24">
        <v>9</v>
      </c>
      <c r="P24">
        <v>1300</v>
      </c>
      <c r="Q24">
        <v>1500</v>
      </c>
      <c r="R24" t="s">
        <v>20</v>
      </c>
      <c r="S24" t="s">
        <v>46</v>
      </c>
      <c r="T24">
        <v>221.5</v>
      </c>
      <c r="U24" t="str">
        <f>_xlfn.IFNA(_xlfn.IFS(E24&gt;Dash!$D$46, "Big", E24&lt;Dash!$D$49, "Small", E24&gt;Dash!$D$47, "Good"), "Norm")</f>
        <v>Good</v>
      </c>
      <c r="V24" t="s">
        <v>33</v>
      </c>
      <c r="W24">
        <v>220</v>
      </c>
      <c r="X24">
        <v>1</v>
      </c>
      <c r="Y24">
        <v>61.5</v>
      </c>
      <c r="Z24" t="str">
        <f>_xlfn.IFNA(_xlfn.IFS(Y24&gt;Dash!$E$46, "Big", Y24&lt;Dash!$E$49, "Small", Y24&gt;Dash!$E$47, "Good"), "Norm")</f>
        <v>Norm</v>
      </c>
      <c r="AA24">
        <v>146.25</v>
      </c>
      <c r="AB24" t="str">
        <f>_xlfn.IFNA(_xlfn.IFS(AA24&gt;Dash!$F$46, "Big", AA24&lt;Dash!$F$49, "Small", AA24&gt;Dash!$F$47, "Good"), "Norm")</f>
        <v>Good</v>
      </c>
      <c r="AC24">
        <v>264.25</v>
      </c>
      <c r="AD24" t="str">
        <f>_xlfn.IFNA(_xlfn.IFS(AC24&gt;Dash!$G$46, "Big", AC24&lt;Dash!$G$49, "Small", AC24&gt;Dash!$G$47, "Good"), "Norm")</f>
        <v>Good</v>
      </c>
      <c r="AE24">
        <v>133.5</v>
      </c>
      <c r="AF24" t="str">
        <f>_xlfn.IFNA(_xlfn.IFS(AE24&gt;Dash!$H$46, "Big", AE24&lt;Dash!$H$49, "Small", AE24&gt;Dash!$H$47, "Good"), "Norm")</f>
        <v>Norm</v>
      </c>
      <c r="AG24">
        <v>24</v>
      </c>
      <c r="AH24" t="str">
        <f>_xlfn.IFNA(_xlfn.IFS(AG24&gt;Dash!$I$46, "Big", AG24&lt;Dash!$I$49, "Small", AG24&gt;Dash!$I$47, "Good"), "Norm")</f>
        <v>Norm</v>
      </c>
    </row>
    <row r="25" spans="1:34" x14ac:dyDescent="0.25">
      <c r="A25" s="1">
        <v>45203</v>
      </c>
      <c r="B25" t="s">
        <v>18</v>
      </c>
      <c r="C25" t="s">
        <v>20</v>
      </c>
      <c r="D25" t="s">
        <v>46</v>
      </c>
      <c r="E25">
        <v>221.5</v>
      </c>
      <c r="F25">
        <v>2300</v>
      </c>
      <c r="G25">
        <v>2300</v>
      </c>
      <c r="J25" t="s">
        <v>37</v>
      </c>
      <c r="K25" t="s">
        <v>39</v>
      </c>
      <c r="L25" t="s">
        <v>32</v>
      </c>
      <c r="M25" t="s">
        <v>23</v>
      </c>
      <c r="N25">
        <v>9</v>
      </c>
      <c r="P25">
        <v>1400</v>
      </c>
      <c r="Q25">
        <v>1500</v>
      </c>
      <c r="R25" t="s">
        <v>33</v>
      </c>
      <c r="S25" t="s">
        <v>43</v>
      </c>
      <c r="T25">
        <v>242.5</v>
      </c>
      <c r="U25" t="str">
        <f>_xlfn.IFNA(_xlfn.IFS(E25&gt;Dash!$D$46, "Big", E25&lt;Dash!$D$49, "Small", E25&gt;Dash!$D$47, "Good"), "Norm")</f>
        <v>Norm</v>
      </c>
      <c r="V25" t="s">
        <v>20</v>
      </c>
      <c r="W25">
        <v>323.25</v>
      </c>
      <c r="X25" t="s">
        <v>14</v>
      </c>
      <c r="Y25">
        <v>96.75</v>
      </c>
      <c r="Z25" t="str">
        <f>_xlfn.IFNA(_xlfn.IFS(Y25&gt;Dash!$E$46, "Big", Y25&lt;Dash!$E$49, "Small", Y25&gt;Dash!$E$47, "Good"), "Norm")</f>
        <v>Good</v>
      </c>
      <c r="AA25">
        <v>164.75</v>
      </c>
      <c r="AB25" t="str">
        <f>_xlfn.IFNA(_xlfn.IFS(AA25&gt;Dash!$F$46, "Big", AA25&lt;Dash!$F$49, "Small", AA25&gt;Dash!$F$47, "Good"), "Norm")</f>
        <v>Big</v>
      </c>
      <c r="AC25">
        <v>163</v>
      </c>
      <c r="AD25" t="str">
        <f>_xlfn.IFNA(_xlfn.IFS(AC25&gt;Dash!$G$46, "Big", AC25&lt;Dash!$G$49, "Small", AC25&gt;Dash!$G$47, "Good"), "Norm")</f>
        <v>Norm</v>
      </c>
      <c r="AE25">
        <v>152</v>
      </c>
      <c r="AF25" t="str">
        <f>_xlfn.IFNA(_xlfn.IFS(AE25&gt;Dash!$H$46, "Big", AE25&lt;Dash!$H$49, "Small", AE25&gt;Dash!$H$47, "Good"), "Norm")</f>
        <v>Good</v>
      </c>
      <c r="AG25">
        <v>18.25</v>
      </c>
      <c r="AH25" t="str">
        <f>_xlfn.IFNA(_xlfn.IFS(AG25&gt;Dash!$I$46, "Big", AG25&lt;Dash!$I$49, "Small", AG25&gt;Dash!$I$47, "Good"), "Norm")</f>
        <v>Small</v>
      </c>
    </row>
    <row r="26" spans="1:34" x14ac:dyDescent="0.25">
      <c r="A26" s="1">
        <v>45204</v>
      </c>
      <c r="B26" t="s">
        <v>36</v>
      </c>
      <c r="C26" t="s">
        <v>33</v>
      </c>
      <c r="D26" t="s">
        <v>43</v>
      </c>
      <c r="E26">
        <v>242.5</v>
      </c>
      <c r="F26">
        <v>800</v>
      </c>
      <c r="G26">
        <v>800</v>
      </c>
      <c r="J26" t="s">
        <v>27</v>
      </c>
      <c r="K26" t="s">
        <v>35</v>
      </c>
      <c r="L26" t="s">
        <v>25</v>
      </c>
      <c r="M26" t="s">
        <v>23</v>
      </c>
      <c r="N26">
        <v>9</v>
      </c>
      <c r="P26">
        <v>1100</v>
      </c>
      <c r="Q26">
        <v>1400</v>
      </c>
      <c r="R26" t="s">
        <v>33</v>
      </c>
      <c r="S26" t="s">
        <v>38</v>
      </c>
      <c r="T26">
        <v>500.25</v>
      </c>
      <c r="U26" t="str">
        <f>_xlfn.IFNA(_xlfn.IFS(E26&gt;Dash!$D$46, "Big", E26&lt;Dash!$D$49, "Small", E26&gt;Dash!$D$47, "Good"), "Norm")</f>
        <v>Norm</v>
      </c>
      <c r="V26" t="s">
        <v>20</v>
      </c>
      <c r="W26">
        <v>221.5</v>
      </c>
      <c r="X26" t="s">
        <v>46</v>
      </c>
      <c r="Y26">
        <v>57.25</v>
      </c>
      <c r="Z26" t="str">
        <f>_xlfn.IFNA(_xlfn.IFS(Y26&gt;Dash!$E$46, "Big", Y26&lt;Dash!$E$49, "Small", Y26&gt;Dash!$E$47, "Good"), "Norm")</f>
        <v>Norm</v>
      </c>
      <c r="AA26">
        <v>97</v>
      </c>
      <c r="AB26" t="str">
        <f>_xlfn.IFNA(_xlfn.IFS(AA26&gt;Dash!$F$46, "Big", AA26&lt;Dash!$F$49, "Small", AA26&gt;Dash!$F$47, "Good"), "Norm")</f>
        <v>Good</v>
      </c>
      <c r="AC26">
        <v>242.5</v>
      </c>
      <c r="AD26" t="str">
        <f>_xlfn.IFNA(_xlfn.IFS(AC26&gt;Dash!$G$46, "Big", AC26&lt;Dash!$G$49, "Small", AC26&gt;Dash!$G$47, "Good"), "Norm")</f>
        <v>Good</v>
      </c>
      <c r="AE26">
        <v>147</v>
      </c>
      <c r="AF26" t="str">
        <f>_xlfn.IFNA(_xlfn.IFS(AE26&gt;Dash!$H$46, "Big", AE26&lt;Dash!$H$49, "Small", AE26&gt;Dash!$H$47, "Good"), "Norm")</f>
        <v>Norm</v>
      </c>
      <c r="AG26">
        <v>22</v>
      </c>
      <c r="AH26" t="str">
        <f>_xlfn.IFNA(_xlfn.IFS(AG26&gt;Dash!$I$46, "Big", AG26&lt;Dash!$I$49, "Small", AG26&gt;Dash!$I$47, "Good"), "Norm")</f>
        <v>Norm</v>
      </c>
    </row>
    <row r="27" spans="1:34" x14ac:dyDescent="0.25">
      <c r="A27" s="1">
        <v>45205</v>
      </c>
      <c r="B27" t="s">
        <v>26</v>
      </c>
      <c r="C27" t="s">
        <v>33</v>
      </c>
      <c r="D27" t="s">
        <v>38</v>
      </c>
      <c r="E27">
        <v>500.25</v>
      </c>
      <c r="F27">
        <v>800</v>
      </c>
      <c r="G27">
        <v>900</v>
      </c>
      <c r="H27">
        <v>1100</v>
      </c>
      <c r="J27" t="s">
        <v>45</v>
      </c>
      <c r="K27" t="s">
        <v>25</v>
      </c>
      <c r="L27" t="s">
        <v>35</v>
      </c>
      <c r="M27" t="s">
        <v>23</v>
      </c>
      <c r="N27">
        <v>9</v>
      </c>
      <c r="P27">
        <v>800</v>
      </c>
      <c r="Q27">
        <v>1500</v>
      </c>
      <c r="R27" t="s">
        <v>33</v>
      </c>
      <c r="S27" t="s">
        <v>28</v>
      </c>
      <c r="T27">
        <v>263.25</v>
      </c>
      <c r="U27" t="str">
        <f>_xlfn.IFNA(_xlfn.IFS(E27&gt;Dash!$D$46, "Big", E27&lt;Dash!$D$49, "Small", E27&gt;Dash!$D$47, "Good"), "Norm")</f>
        <v>Big</v>
      </c>
      <c r="V27" t="s">
        <v>33</v>
      </c>
      <c r="W27">
        <v>242.5</v>
      </c>
      <c r="X27" t="s">
        <v>43</v>
      </c>
      <c r="Y27">
        <v>41.25</v>
      </c>
      <c r="Z27" t="str">
        <f>_xlfn.IFNA(_xlfn.IFS(Y27&gt;Dash!$E$46, "Big", Y27&lt;Dash!$E$49, "Small", Y27&gt;Dash!$E$47, "Good"), "Norm")</f>
        <v>Small</v>
      </c>
      <c r="AA27">
        <v>85.75</v>
      </c>
      <c r="AB27" t="str">
        <f>_xlfn.IFNA(_xlfn.IFS(AA27&gt;Dash!$F$46, "Big", AA27&lt;Dash!$F$49, "Small", AA27&gt;Dash!$F$47, "Good"), "Norm")</f>
        <v>Norm</v>
      </c>
      <c r="AC27">
        <v>388.5</v>
      </c>
      <c r="AD27" t="str">
        <f>_xlfn.IFNA(_xlfn.IFS(AC27&gt;Dash!$G$46, "Big", AC27&lt;Dash!$G$49, "Small", AC27&gt;Dash!$G$47, "Good"), "Norm")</f>
        <v>Big</v>
      </c>
      <c r="AE27">
        <v>141</v>
      </c>
      <c r="AF27" t="str">
        <f>_xlfn.IFNA(_xlfn.IFS(AE27&gt;Dash!$H$46, "Big", AE27&lt;Dash!$H$49, "Small", AE27&gt;Dash!$H$47, "Good"), "Norm")</f>
        <v>Norm</v>
      </c>
      <c r="AG27">
        <v>32.75</v>
      </c>
      <c r="AH27" t="str">
        <f>_xlfn.IFNA(_xlfn.IFS(AG27&gt;Dash!$I$46, "Big", AG27&lt;Dash!$I$49, "Small", AG27&gt;Dash!$I$47, "Good"), "Norm")</f>
        <v>Norm</v>
      </c>
    </row>
    <row r="28" spans="1:34" x14ac:dyDescent="0.25">
      <c r="A28" s="1">
        <v>45208</v>
      </c>
      <c r="B28" t="s">
        <v>23</v>
      </c>
      <c r="C28" t="s">
        <v>33</v>
      </c>
      <c r="D28" t="s">
        <v>28</v>
      </c>
      <c r="E28">
        <v>263.25</v>
      </c>
      <c r="F28">
        <v>1300</v>
      </c>
      <c r="J28" t="s">
        <v>49</v>
      </c>
      <c r="K28" t="s">
        <v>25</v>
      </c>
      <c r="L28" t="s">
        <v>32</v>
      </c>
      <c r="M28" t="s">
        <v>18</v>
      </c>
      <c r="N28">
        <v>8</v>
      </c>
      <c r="P28">
        <v>1100</v>
      </c>
      <c r="Q28">
        <v>1400</v>
      </c>
      <c r="R28" t="s">
        <v>20</v>
      </c>
      <c r="S28" t="s">
        <v>28</v>
      </c>
      <c r="T28">
        <v>210</v>
      </c>
      <c r="U28" t="str">
        <f>_xlfn.IFNA(_xlfn.IFS(E28&gt;Dash!$D$46, "Big", E28&lt;Dash!$D$49, "Small", E28&gt;Dash!$D$47, "Good"), "Norm")</f>
        <v>Good</v>
      </c>
      <c r="V28" t="s">
        <v>33</v>
      </c>
      <c r="W28">
        <v>500.25</v>
      </c>
      <c r="X28" t="s">
        <v>38</v>
      </c>
      <c r="Y28">
        <v>61.75</v>
      </c>
      <c r="Z28" t="str">
        <f>_xlfn.IFNA(_xlfn.IFS(Y28&gt;Dash!$E$46, "Big", Y28&lt;Dash!$E$49, "Small", Y28&gt;Dash!$E$47, "Good"), "Norm")</f>
        <v>Norm</v>
      </c>
      <c r="AA28">
        <v>61.5</v>
      </c>
      <c r="AB28" t="str">
        <f>_xlfn.IFNA(_xlfn.IFS(AA28&gt;Dash!$F$46, "Big", AA28&lt;Dash!$F$49, "Small", AA28&gt;Dash!$F$47, "Good"), "Norm")</f>
        <v>Norm</v>
      </c>
      <c r="AC28">
        <v>117.25</v>
      </c>
      <c r="AD28" t="str">
        <f>_xlfn.IFNA(_xlfn.IFS(AC28&gt;Dash!$G$46, "Big", AC28&lt;Dash!$G$49, "Small", AC28&gt;Dash!$G$47, "Good"), "Norm")</f>
        <v>Norm</v>
      </c>
      <c r="AE28">
        <v>169.5</v>
      </c>
      <c r="AF28" t="str">
        <f>_xlfn.IFNA(_xlfn.IFS(AE28&gt;Dash!$H$46, "Big", AE28&lt;Dash!$H$49, "Small", AE28&gt;Dash!$H$47, "Good"), "Norm")</f>
        <v>Good</v>
      </c>
      <c r="AG28">
        <v>14.75</v>
      </c>
      <c r="AH28" t="str">
        <f>_xlfn.IFNA(_xlfn.IFS(AG28&gt;Dash!$I$46, "Big", AG28&lt;Dash!$I$49, "Small", AG28&gt;Dash!$I$47, "Good"), "Norm")</f>
        <v>Small</v>
      </c>
    </row>
    <row r="29" spans="1:34" x14ac:dyDescent="0.25">
      <c r="A29" s="1">
        <v>45209</v>
      </c>
      <c r="B29" t="s">
        <v>19</v>
      </c>
      <c r="C29" t="s">
        <v>20</v>
      </c>
      <c r="D29" t="s">
        <v>28</v>
      </c>
      <c r="E29">
        <v>210</v>
      </c>
      <c r="F29">
        <v>2000</v>
      </c>
      <c r="G29">
        <v>2200</v>
      </c>
      <c r="J29" t="s">
        <v>29</v>
      </c>
      <c r="K29" t="s">
        <v>39</v>
      </c>
      <c r="L29" t="s">
        <v>35</v>
      </c>
      <c r="M29" t="s">
        <v>18</v>
      </c>
      <c r="N29">
        <v>8</v>
      </c>
      <c r="P29">
        <v>1100</v>
      </c>
      <c r="Q29">
        <v>1300</v>
      </c>
      <c r="R29" t="s">
        <v>33</v>
      </c>
      <c r="S29" t="s">
        <v>28</v>
      </c>
      <c r="T29">
        <v>134.25</v>
      </c>
      <c r="U29" t="str">
        <f>_xlfn.IFNA(_xlfn.IFS(E29&gt;Dash!$D$46, "Big", E29&lt;Dash!$D$49, "Small", E29&gt;Dash!$D$47, "Good"), "Norm")</f>
        <v>Norm</v>
      </c>
      <c r="V29" t="s">
        <v>33</v>
      </c>
      <c r="W29">
        <v>263.25</v>
      </c>
      <c r="X29" t="s">
        <v>28</v>
      </c>
      <c r="Y29">
        <v>49.75</v>
      </c>
      <c r="Z29" t="str">
        <f>_xlfn.IFNA(_xlfn.IFS(Y29&gt;Dash!$E$46, "Big", Y29&lt;Dash!$E$49, "Small", Y29&gt;Dash!$E$47, "Good"), "Norm")</f>
        <v>Norm</v>
      </c>
      <c r="AA29">
        <v>67.5</v>
      </c>
      <c r="AB29" t="str">
        <f>_xlfn.IFNA(_xlfn.IFS(AA29&gt;Dash!$F$46, "Big", AA29&lt;Dash!$F$49, "Small", AA29&gt;Dash!$F$47, "Good"), "Norm")</f>
        <v>Norm</v>
      </c>
      <c r="AC29">
        <v>210</v>
      </c>
      <c r="AD29" t="str">
        <f>_xlfn.IFNA(_xlfn.IFS(AC29&gt;Dash!$G$46, "Big", AC29&lt;Dash!$G$49, "Small", AC29&gt;Dash!$G$47, "Good"), "Norm")</f>
        <v>Good</v>
      </c>
      <c r="AE29">
        <v>121</v>
      </c>
      <c r="AF29" t="str">
        <f>_xlfn.IFNA(_xlfn.IFS(AE29&gt;Dash!$H$46, "Big", AE29&lt;Dash!$H$49, "Small", AE29&gt;Dash!$H$47, "Good"), "Norm")</f>
        <v>Norm</v>
      </c>
      <c r="AG29">
        <v>18.75</v>
      </c>
      <c r="AH29" t="str">
        <f>_xlfn.IFNA(_xlfn.IFS(AG29&gt;Dash!$I$46, "Big", AG29&lt;Dash!$I$49, "Small", AG29&gt;Dash!$I$47, "Good"), "Norm")</f>
        <v>Small</v>
      </c>
    </row>
    <row r="30" spans="1:34" x14ac:dyDescent="0.25">
      <c r="A30" s="1">
        <v>45210</v>
      </c>
      <c r="B30" t="s">
        <v>18</v>
      </c>
      <c r="C30" t="s">
        <v>33</v>
      </c>
      <c r="D30" t="s">
        <v>28</v>
      </c>
      <c r="E30">
        <v>134.25</v>
      </c>
      <c r="F30">
        <v>900</v>
      </c>
      <c r="G30">
        <v>900</v>
      </c>
      <c r="J30" t="s">
        <v>27</v>
      </c>
      <c r="K30" t="s">
        <v>35</v>
      </c>
      <c r="L30" t="s">
        <v>17</v>
      </c>
      <c r="M30" t="s">
        <v>18</v>
      </c>
      <c r="N30">
        <v>8</v>
      </c>
      <c r="P30">
        <v>1300</v>
      </c>
      <c r="Q30">
        <v>1600</v>
      </c>
      <c r="R30" t="s">
        <v>33</v>
      </c>
      <c r="S30" t="s">
        <v>43</v>
      </c>
      <c r="T30">
        <v>252.5</v>
      </c>
      <c r="U30" t="str">
        <f>_xlfn.IFNA(_xlfn.IFS(E30&gt;Dash!$D$46, "Big", E30&lt;Dash!$D$49, "Small", E30&gt;Dash!$D$47, "Good"), "Norm")</f>
        <v>Small</v>
      </c>
      <c r="V30" t="s">
        <v>20</v>
      </c>
      <c r="W30">
        <v>210</v>
      </c>
      <c r="X30" t="s">
        <v>28</v>
      </c>
      <c r="Y30">
        <v>29.5</v>
      </c>
      <c r="Z30" t="str">
        <f>_xlfn.IFNA(_xlfn.IFS(Y30&gt;Dash!$E$46, "Big", Y30&lt;Dash!$E$49, "Small", Y30&gt;Dash!$E$47, "Good"), "Norm")</f>
        <v>Small</v>
      </c>
      <c r="AA30">
        <v>72.5</v>
      </c>
      <c r="AB30" t="str">
        <f>_xlfn.IFNA(_xlfn.IFS(AA30&gt;Dash!$F$46, "Big", AA30&lt;Dash!$F$49, "Small", AA30&gt;Dash!$F$47, "Good"), "Norm")</f>
        <v>Norm</v>
      </c>
      <c r="AC30">
        <v>103</v>
      </c>
      <c r="AD30" t="str">
        <f>_xlfn.IFNA(_xlfn.IFS(AC30&gt;Dash!$G$46, "Big", AC30&lt;Dash!$G$49, "Small", AC30&gt;Dash!$G$47, "Good"), "Norm")</f>
        <v>Small</v>
      </c>
      <c r="AE30">
        <v>132.5</v>
      </c>
      <c r="AF30" t="str">
        <f>_xlfn.IFNA(_xlfn.IFS(AE30&gt;Dash!$H$46, "Big", AE30&lt;Dash!$H$49, "Small", AE30&gt;Dash!$H$47, "Good"), "Norm")</f>
        <v>Norm</v>
      </c>
      <c r="AG30">
        <v>42.5</v>
      </c>
      <c r="AH30" t="str">
        <f>_xlfn.IFNA(_xlfn.IFS(AG30&gt;Dash!$I$46, "Big", AG30&lt;Dash!$I$49, "Small", AG30&gt;Dash!$I$47, "Good"), "Norm")</f>
        <v>Good</v>
      </c>
    </row>
    <row r="31" spans="1:34" x14ac:dyDescent="0.25">
      <c r="A31" s="1">
        <v>45211</v>
      </c>
      <c r="B31" t="s">
        <v>36</v>
      </c>
      <c r="C31" t="s">
        <v>33</v>
      </c>
      <c r="D31" t="s">
        <v>43</v>
      </c>
      <c r="E31">
        <v>252.5</v>
      </c>
      <c r="F31">
        <v>2000</v>
      </c>
      <c r="G31">
        <v>2200</v>
      </c>
      <c r="J31" t="s">
        <v>29</v>
      </c>
      <c r="K31" t="s">
        <v>32</v>
      </c>
      <c r="L31" t="s">
        <v>17</v>
      </c>
      <c r="M31" t="s">
        <v>18</v>
      </c>
      <c r="N31">
        <v>8</v>
      </c>
      <c r="P31">
        <v>1400</v>
      </c>
      <c r="Q31">
        <v>1500</v>
      </c>
      <c r="R31" t="s">
        <v>33</v>
      </c>
      <c r="S31" t="s">
        <v>14</v>
      </c>
      <c r="T31">
        <v>304.5</v>
      </c>
      <c r="U31" t="str">
        <f>_xlfn.IFNA(_xlfn.IFS(E31&gt;Dash!$D$46, "Big", E31&lt;Dash!$D$49, "Small", E31&gt;Dash!$D$47, "Good"), "Norm")</f>
        <v>Norm</v>
      </c>
      <c r="V31" t="s">
        <v>33</v>
      </c>
      <c r="W31">
        <v>134.25</v>
      </c>
      <c r="X31" t="s">
        <v>28</v>
      </c>
      <c r="Y31">
        <v>33.25</v>
      </c>
      <c r="Z31" t="str">
        <f>_xlfn.IFNA(_xlfn.IFS(Y31&gt;Dash!$E$46, "Big", Y31&lt;Dash!$E$49, "Small", Y31&gt;Dash!$E$47, "Good"), "Norm")</f>
        <v>Small</v>
      </c>
      <c r="AA31">
        <v>34.5</v>
      </c>
      <c r="AB31" t="str">
        <f>_xlfn.IFNA(_xlfn.IFS(AA31&gt;Dash!$F$46, "Big", AA31&lt;Dash!$F$49, "Small", AA31&gt;Dash!$F$47, "Good"), "Norm")</f>
        <v>Small</v>
      </c>
      <c r="AC31">
        <v>105.5</v>
      </c>
      <c r="AD31" t="str">
        <f>_xlfn.IFNA(_xlfn.IFS(AC31&gt;Dash!$G$46, "Big", AC31&lt;Dash!$G$49, "Small", AC31&gt;Dash!$G$47, "Good"), "Norm")</f>
        <v>Small</v>
      </c>
      <c r="AE31">
        <v>252.5</v>
      </c>
      <c r="AF31" t="str">
        <f>_xlfn.IFNA(_xlfn.IFS(AE31&gt;Dash!$H$46, "Big", AE31&lt;Dash!$H$49, "Small", AE31&gt;Dash!$H$47, "Good"), "Norm")</f>
        <v>Big</v>
      </c>
      <c r="AG31">
        <v>16.75</v>
      </c>
      <c r="AH31" t="str">
        <f>_xlfn.IFNA(_xlfn.IFS(AG31&gt;Dash!$I$46, "Big", AG31&lt;Dash!$I$49, "Small", AG31&gt;Dash!$I$47, "Good"), "Norm")</f>
        <v>Small</v>
      </c>
    </row>
    <row r="32" spans="1:34" x14ac:dyDescent="0.25">
      <c r="A32" s="1">
        <v>45212</v>
      </c>
      <c r="B32" t="s">
        <v>26</v>
      </c>
      <c r="C32" t="s">
        <v>33</v>
      </c>
      <c r="D32" t="s">
        <v>14</v>
      </c>
      <c r="E32">
        <v>304.5</v>
      </c>
      <c r="F32">
        <v>1000</v>
      </c>
      <c r="J32" t="s">
        <v>45</v>
      </c>
      <c r="K32" t="s">
        <v>35</v>
      </c>
      <c r="L32" t="s">
        <v>17</v>
      </c>
      <c r="M32" t="s">
        <v>18</v>
      </c>
      <c r="N32">
        <v>8</v>
      </c>
      <c r="P32">
        <v>1300</v>
      </c>
      <c r="Q32">
        <v>1500</v>
      </c>
      <c r="R32" t="s">
        <v>20</v>
      </c>
      <c r="S32">
        <v>1</v>
      </c>
      <c r="T32">
        <v>211.75</v>
      </c>
      <c r="U32" t="str">
        <f>_xlfn.IFNA(_xlfn.IFS(E32&gt;Dash!$D$46, "Big", E32&lt;Dash!$D$49, "Small", E32&gt;Dash!$D$47, "Good"), "Norm")</f>
        <v>Good</v>
      </c>
      <c r="V32" t="s">
        <v>33</v>
      </c>
      <c r="W32">
        <v>252.5</v>
      </c>
      <c r="X32" t="s">
        <v>43</v>
      </c>
      <c r="Y32">
        <v>32.25</v>
      </c>
      <c r="Z32" t="str">
        <f>_xlfn.IFNA(_xlfn.IFS(Y32&gt;Dash!$E$46, "Big", Y32&lt;Dash!$E$49, "Small", Y32&gt;Dash!$E$47, "Good"), "Norm")</f>
        <v>Small</v>
      </c>
      <c r="AA32">
        <v>123.25</v>
      </c>
      <c r="AB32" t="str">
        <f>_xlfn.IFNA(_xlfn.IFS(AA32&gt;Dash!$F$46, "Big", AA32&lt;Dash!$F$49, "Small", AA32&gt;Dash!$F$47, "Good"), "Norm")</f>
        <v>Good</v>
      </c>
      <c r="AC32">
        <v>257.5</v>
      </c>
      <c r="AD32" t="str">
        <f>_xlfn.IFNA(_xlfn.IFS(AC32&gt;Dash!$G$46, "Big", AC32&lt;Dash!$G$49, "Small", AC32&gt;Dash!$G$47, "Good"), "Norm")</f>
        <v>Good</v>
      </c>
      <c r="AE32">
        <v>138.5</v>
      </c>
      <c r="AF32" t="str">
        <f>_xlfn.IFNA(_xlfn.IFS(AE32&gt;Dash!$H$46, "Big", AE32&lt;Dash!$H$49, "Small", AE32&gt;Dash!$H$47, "Good"), "Norm")</f>
        <v>Norm</v>
      </c>
      <c r="AG32">
        <v>22.25</v>
      </c>
      <c r="AH32" t="str">
        <f>_xlfn.IFNA(_xlfn.IFS(AG32&gt;Dash!$I$46, "Big", AG32&lt;Dash!$I$49, "Small", AG32&gt;Dash!$I$47, "Good"), "Norm")</f>
        <v>Norm</v>
      </c>
    </row>
    <row r="33" spans="1:34" x14ac:dyDescent="0.25">
      <c r="A33" s="1">
        <v>45215</v>
      </c>
      <c r="B33" t="s">
        <v>23</v>
      </c>
      <c r="C33" t="s">
        <v>20</v>
      </c>
      <c r="D33">
        <v>1</v>
      </c>
      <c r="E33">
        <v>211.75</v>
      </c>
      <c r="J33" t="s">
        <v>34</v>
      </c>
      <c r="K33" t="s">
        <v>39</v>
      </c>
      <c r="L33" t="s">
        <v>32</v>
      </c>
      <c r="M33" t="s">
        <v>23</v>
      </c>
      <c r="N33">
        <v>5</v>
      </c>
      <c r="P33">
        <v>1300</v>
      </c>
      <c r="Q33">
        <v>1500</v>
      </c>
      <c r="R33" t="s">
        <v>33</v>
      </c>
      <c r="S33" t="s">
        <v>14</v>
      </c>
      <c r="T33">
        <v>259</v>
      </c>
      <c r="U33" t="str">
        <f>_xlfn.IFNA(_xlfn.IFS(E33&gt;Dash!$D$46, "Big", E33&lt;Dash!$D$49, "Small", E33&gt;Dash!$D$47, "Good"), "Norm")</f>
        <v>Norm</v>
      </c>
      <c r="V33" t="s">
        <v>33</v>
      </c>
      <c r="W33">
        <v>304.5</v>
      </c>
      <c r="X33" t="s">
        <v>14</v>
      </c>
      <c r="Y33">
        <v>67.5</v>
      </c>
      <c r="Z33" t="str">
        <f>_xlfn.IFNA(_xlfn.IFS(Y33&gt;Dash!$E$46, "Big", Y33&lt;Dash!$E$49, "Small", Y33&gt;Dash!$E$47, "Good"), "Norm")</f>
        <v>Norm</v>
      </c>
      <c r="AA33">
        <v>102.25</v>
      </c>
      <c r="AB33" t="str">
        <f>_xlfn.IFNA(_xlfn.IFS(AA33&gt;Dash!$F$46, "Big", AA33&lt;Dash!$F$49, "Small", AA33&gt;Dash!$F$47, "Good"), "Norm")</f>
        <v>Good</v>
      </c>
      <c r="AC33">
        <v>200.75</v>
      </c>
      <c r="AD33" t="str">
        <f>_xlfn.IFNA(_xlfn.IFS(AC33&gt;Dash!$G$46, "Big", AC33&lt;Dash!$G$49, "Small", AC33&gt;Dash!$G$47, "Good"), "Norm")</f>
        <v>Good</v>
      </c>
      <c r="AE33">
        <v>124.75</v>
      </c>
      <c r="AF33" t="str">
        <f>_xlfn.IFNA(_xlfn.IFS(AE33&gt;Dash!$H$46, "Big", AE33&lt;Dash!$H$49, "Small", AE33&gt;Dash!$H$47, "Good"), "Norm")</f>
        <v>Norm</v>
      </c>
      <c r="AG33">
        <v>27.75</v>
      </c>
      <c r="AH33" t="str">
        <f>_xlfn.IFNA(_xlfn.IFS(AG33&gt;Dash!$I$46, "Big", AG33&lt;Dash!$I$49, "Small", AG33&gt;Dash!$I$47, "Good"), "Norm")</f>
        <v>Norm</v>
      </c>
    </row>
    <row r="34" spans="1:34" x14ac:dyDescent="0.25">
      <c r="A34" s="1">
        <v>45216</v>
      </c>
      <c r="B34" t="s">
        <v>19</v>
      </c>
      <c r="C34" t="s">
        <v>33</v>
      </c>
      <c r="D34" t="s">
        <v>14</v>
      </c>
      <c r="E34">
        <v>259</v>
      </c>
      <c r="F34">
        <v>900</v>
      </c>
      <c r="G34">
        <v>1000</v>
      </c>
      <c r="J34" t="s">
        <v>45</v>
      </c>
      <c r="K34" t="s">
        <v>25</v>
      </c>
      <c r="L34" t="s">
        <v>32</v>
      </c>
      <c r="M34" t="s">
        <v>23</v>
      </c>
      <c r="N34">
        <v>5</v>
      </c>
      <c r="P34">
        <v>1200</v>
      </c>
      <c r="Q34">
        <v>1500</v>
      </c>
      <c r="R34" t="s">
        <v>13</v>
      </c>
      <c r="S34" t="s">
        <v>14</v>
      </c>
      <c r="T34">
        <v>244.5</v>
      </c>
      <c r="U34" t="str">
        <f>_xlfn.IFNA(_xlfn.IFS(E34&gt;Dash!$D$46, "Big", E34&lt;Dash!$D$49, "Small", E34&gt;Dash!$D$47, "Good"), "Norm")</f>
        <v>Good</v>
      </c>
      <c r="V34" t="s">
        <v>20</v>
      </c>
      <c r="W34">
        <v>211.75</v>
      </c>
      <c r="X34">
        <v>1</v>
      </c>
      <c r="Y34">
        <v>43.75</v>
      </c>
      <c r="Z34" t="str">
        <f>_xlfn.IFNA(_xlfn.IFS(Y34&gt;Dash!$E$46, "Big", Y34&lt;Dash!$E$49, "Small", Y34&gt;Dash!$E$47, "Good"), "Norm")</f>
        <v>Norm</v>
      </c>
      <c r="AA34">
        <v>77.25</v>
      </c>
      <c r="AB34" t="str">
        <f>_xlfn.IFNA(_xlfn.IFS(AA34&gt;Dash!$F$46, "Big", AA34&lt;Dash!$F$49, "Small", AA34&gt;Dash!$F$47, "Good"), "Norm")</f>
        <v>Norm</v>
      </c>
      <c r="AC34">
        <v>233.25</v>
      </c>
      <c r="AD34" t="str">
        <f>_xlfn.IFNA(_xlfn.IFS(AC34&gt;Dash!$G$46, "Big", AC34&lt;Dash!$G$49, "Small", AC34&gt;Dash!$G$47, "Good"), "Norm")</f>
        <v>Good</v>
      </c>
      <c r="AE34">
        <v>131</v>
      </c>
      <c r="AF34" t="str">
        <f>_xlfn.IFNA(_xlfn.IFS(AE34&gt;Dash!$H$46, "Big", AE34&lt;Dash!$H$49, "Small", AE34&gt;Dash!$H$47, "Good"), "Norm")</f>
        <v>Norm</v>
      </c>
      <c r="AG34">
        <v>24</v>
      </c>
      <c r="AH34" t="str">
        <f>_xlfn.IFNA(_xlfn.IFS(AG34&gt;Dash!$I$46, "Big", AG34&lt;Dash!$I$49, "Small", AG34&gt;Dash!$I$47, "Good"), "Norm")</f>
        <v>Norm</v>
      </c>
    </row>
    <row r="35" spans="1:34" x14ac:dyDescent="0.25">
      <c r="A35" s="1">
        <v>45217</v>
      </c>
      <c r="B35" t="s">
        <v>18</v>
      </c>
      <c r="C35" t="s">
        <v>13</v>
      </c>
      <c r="D35" t="s">
        <v>14</v>
      </c>
      <c r="E35">
        <v>244.5</v>
      </c>
      <c r="F35">
        <v>1400</v>
      </c>
      <c r="G35">
        <v>1400</v>
      </c>
      <c r="J35" t="s">
        <v>21</v>
      </c>
      <c r="K35" t="s">
        <v>16</v>
      </c>
      <c r="L35" t="s">
        <v>17</v>
      </c>
      <c r="M35" t="s">
        <v>23</v>
      </c>
      <c r="N35">
        <v>5</v>
      </c>
      <c r="O35" t="s">
        <v>104</v>
      </c>
      <c r="P35">
        <v>1200</v>
      </c>
      <c r="Q35">
        <v>1500</v>
      </c>
      <c r="R35" t="s">
        <v>33</v>
      </c>
      <c r="S35" t="s">
        <v>43</v>
      </c>
      <c r="T35">
        <v>286</v>
      </c>
      <c r="U35" t="str">
        <f>_xlfn.IFNA(_xlfn.IFS(E35&gt;Dash!$D$46, "Big", E35&lt;Dash!$D$49, "Small", E35&gt;Dash!$D$47, "Good"), "Norm")</f>
        <v>Norm</v>
      </c>
      <c r="V35" t="s">
        <v>33</v>
      </c>
      <c r="W35">
        <v>259</v>
      </c>
      <c r="X35" t="s">
        <v>14</v>
      </c>
      <c r="Y35">
        <v>52.75</v>
      </c>
      <c r="Z35" t="str">
        <f>_xlfn.IFNA(_xlfn.IFS(Y35&gt;Dash!$E$46, "Big", Y35&lt;Dash!$E$49, "Small", Y35&gt;Dash!$E$47, "Good"), "Norm")</f>
        <v>Norm</v>
      </c>
      <c r="AA35">
        <v>83.5</v>
      </c>
      <c r="AB35" t="str">
        <f>_xlfn.IFNA(_xlfn.IFS(AA35&gt;Dash!$F$46, "Big", AA35&lt;Dash!$F$49, "Small", AA35&gt;Dash!$F$47, "Good"), "Norm")</f>
        <v>Norm</v>
      </c>
      <c r="AC35">
        <v>130.75</v>
      </c>
      <c r="AD35" t="str">
        <f>_xlfn.IFNA(_xlfn.IFS(AC35&gt;Dash!$G$46, "Big", AC35&lt;Dash!$G$49, "Small", AC35&gt;Dash!$G$47, "Good"), "Norm")</f>
        <v>Norm</v>
      </c>
      <c r="AE35">
        <v>198</v>
      </c>
      <c r="AF35" t="str">
        <f>_xlfn.IFNA(_xlfn.IFS(AE35&gt;Dash!$H$46, "Big", AE35&lt;Dash!$H$49, "Small", AE35&gt;Dash!$H$47, "Good"), "Norm")</f>
        <v>Good</v>
      </c>
      <c r="AG35">
        <v>49.5</v>
      </c>
      <c r="AH35" t="str">
        <f>_xlfn.IFNA(_xlfn.IFS(AG35&gt;Dash!$I$46, "Big", AG35&lt;Dash!$I$49, "Small", AG35&gt;Dash!$I$47, "Good"), "Norm")</f>
        <v>Good</v>
      </c>
    </row>
    <row r="36" spans="1:34" x14ac:dyDescent="0.25">
      <c r="A36" s="1">
        <v>45218</v>
      </c>
      <c r="B36" t="s">
        <v>36</v>
      </c>
      <c r="C36" t="s">
        <v>33</v>
      </c>
      <c r="D36" t="s">
        <v>43</v>
      </c>
      <c r="E36">
        <v>286</v>
      </c>
      <c r="F36">
        <v>300</v>
      </c>
      <c r="G36">
        <v>400</v>
      </c>
      <c r="J36" t="s">
        <v>15</v>
      </c>
      <c r="K36" t="s">
        <v>32</v>
      </c>
      <c r="L36" t="s">
        <v>42</v>
      </c>
      <c r="M36" t="s">
        <v>23</v>
      </c>
      <c r="N36">
        <v>5</v>
      </c>
      <c r="P36">
        <v>1200</v>
      </c>
      <c r="Q36">
        <v>1600</v>
      </c>
      <c r="R36" t="s">
        <v>33</v>
      </c>
      <c r="S36" t="s">
        <v>14</v>
      </c>
      <c r="T36">
        <v>234.25</v>
      </c>
      <c r="U36" t="str">
        <f>_xlfn.IFNA(_xlfn.IFS(E36&gt;Dash!$D$46, "Big", E36&lt;Dash!$D$49, "Small", E36&gt;Dash!$D$47, "Good"), "Norm")</f>
        <v>Good</v>
      </c>
      <c r="V36" t="s">
        <v>13</v>
      </c>
      <c r="W36">
        <v>244.5</v>
      </c>
      <c r="X36" t="s">
        <v>14</v>
      </c>
      <c r="Y36">
        <v>76.75</v>
      </c>
      <c r="Z36" t="str">
        <f>_xlfn.IFNA(_xlfn.IFS(Y36&gt;Dash!$E$46, "Big", Y36&lt;Dash!$E$49, "Small", Y36&gt;Dash!$E$47, "Good"), "Norm")</f>
        <v>Norm</v>
      </c>
      <c r="AA36">
        <v>132.5</v>
      </c>
      <c r="AB36" t="str">
        <f>_xlfn.IFNA(_xlfn.IFS(AA36&gt;Dash!$F$46, "Big", AA36&lt;Dash!$F$49, "Small", AA36&gt;Dash!$F$47, "Good"), "Norm")</f>
        <v>Good</v>
      </c>
      <c r="AC36">
        <v>142.75</v>
      </c>
      <c r="AD36" t="str">
        <f>_xlfn.IFNA(_xlfn.IFS(AC36&gt;Dash!$G$46, "Big", AC36&lt;Dash!$G$49, "Small", AC36&gt;Dash!$G$47, "Good"), "Norm")</f>
        <v>Norm</v>
      </c>
      <c r="AE36">
        <v>286</v>
      </c>
      <c r="AF36" t="str">
        <f>_xlfn.IFNA(_xlfn.IFS(AE36&gt;Dash!$H$46, "Big", AE36&lt;Dash!$H$49, "Small", AE36&gt;Dash!$H$47, "Good"), "Norm")</f>
        <v>Big</v>
      </c>
      <c r="AG36">
        <v>49.5</v>
      </c>
      <c r="AH36" t="str">
        <f>_xlfn.IFNA(_xlfn.IFS(AG36&gt;Dash!$I$46, "Big", AG36&lt;Dash!$I$49, "Small", AG36&gt;Dash!$I$47, "Good"), "Norm")</f>
        <v>Good</v>
      </c>
    </row>
    <row r="37" spans="1:34" x14ac:dyDescent="0.25">
      <c r="A37" s="1">
        <v>45219</v>
      </c>
      <c r="B37" t="s">
        <v>26</v>
      </c>
      <c r="C37" t="s">
        <v>33</v>
      </c>
      <c r="D37" t="s">
        <v>14</v>
      </c>
      <c r="E37">
        <v>234.25</v>
      </c>
      <c r="F37">
        <v>1800</v>
      </c>
      <c r="G37">
        <v>1900</v>
      </c>
      <c r="J37" t="s">
        <v>37</v>
      </c>
      <c r="K37" t="s">
        <v>35</v>
      </c>
      <c r="L37" t="s">
        <v>42</v>
      </c>
      <c r="M37" t="s">
        <v>23</v>
      </c>
      <c r="N37">
        <v>5</v>
      </c>
      <c r="O37" t="s">
        <v>61</v>
      </c>
      <c r="P37">
        <v>1300</v>
      </c>
      <c r="Q37">
        <v>1600</v>
      </c>
      <c r="R37" t="s">
        <v>33</v>
      </c>
      <c r="S37" t="s">
        <v>46</v>
      </c>
      <c r="T37">
        <v>339.5</v>
      </c>
      <c r="U37" t="str">
        <f>_xlfn.IFNA(_xlfn.IFS(E37&gt;Dash!$D$46, "Big", E37&lt;Dash!$D$49, "Small", E37&gt;Dash!$D$47, "Good"), "Norm")</f>
        <v>Norm</v>
      </c>
      <c r="V37" t="s">
        <v>33</v>
      </c>
      <c r="W37">
        <v>286</v>
      </c>
      <c r="X37" t="s">
        <v>43</v>
      </c>
      <c r="Y37">
        <v>38.75</v>
      </c>
      <c r="Z37" t="str">
        <f>_xlfn.IFNA(_xlfn.IFS(Y37&gt;Dash!$E$46, "Big", Y37&lt;Dash!$E$49, "Small", Y37&gt;Dash!$E$47, "Good"), "Norm")</f>
        <v>Small</v>
      </c>
      <c r="AA37">
        <v>91.5</v>
      </c>
      <c r="AB37" t="str">
        <f>_xlfn.IFNA(_xlfn.IFS(AA37&gt;Dash!$F$46, "Big", AA37&lt;Dash!$F$49, "Small", AA37&gt;Dash!$F$47, "Good"), "Norm")</f>
        <v>Norm</v>
      </c>
      <c r="AC37">
        <v>225.75</v>
      </c>
      <c r="AD37" t="str">
        <f>_xlfn.IFNA(_xlfn.IFS(AC37&gt;Dash!$G$46, "Big", AC37&lt;Dash!$G$49, "Small", AC37&gt;Dash!$G$47, "Good"), "Norm")</f>
        <v>Good</v>
      </c>
      <c r="AE37">
        <v>151.5</v>
      </c>
      <c r="AF37" t="str">
        <f>_xlfn.IFNA(_xlfn.IFS(AE37&gt;Dash!$H$46, "Big", AE37&lt;Dash!$H$49, "Small", AE37&gt;Dash!$H$47, "Good"), "Norm")</f>
        <v>Good</v>
      </c>
      <c r="AG37">
        <v>24</v>
      </c>
      <c r="AH37" t="str">
        <f>_xlfn.IFNA(_xlfn.IFS(AG37&gt;Dash!$I$46, "Big", AG37&lt;Dash!$I$49, "Small", AG37&gt;Dash!$I$47, "Good"), "Norm")</f>
        <v>Norm</v>
      </c>
    </row>
    <row r="38" spans="1:34" x14ac:dyDescent="0.25">
      <c r="A38" s="1">
        <v>45222</v>
      </c>
      <c r="B38" t="s">
        <v>23</v>
      </c>
      <c r="C38" t="s">
        <v>33</v>
      </c>
      <c r="D38" t="s">
        <v>46</v>
      </c>
      <c r="E38">
        <v>339.5</v>
      </c>
      <c r="F38">
        <v>300</v>
      </c>
      <c r="G38">
        <v>1000</v>
      </c>
      <c r="J38" t="s">
        <v>15</v>
      </c>
      <c r="K38" t="s">
        <v>25</v>
      </c>
      <c r="L38" t="s">
        <v>32</v>
      </c>
      <c r="M38" t="s">
        <v>23</v>
      </c>
      <c r="N38">
        <v>7</v>
      </c>
      <c r="P38">
        <v>1300</v>
      </c>
      <c r="Q38">
        <v>1500</v>
      </c>
      <c r="R38" t="s">
        <v>33</v>
      </c>
      <c r="S38" t="s">
        <v>28</v>
      </c>
      <c r="T38">
        <v>172</v>
      </c>
      <c r="U38" t="str">
        <f>_xlfn.IFNA(_xlfn.IFS(E38&gt;Dash!$D$46, "Big", E38&lt;Dash!$D$49, "Small", E38&gt;Dash!$D$47, "Good"), "Norm")</f>
        <v>Good</v>
      </c>
      <c r="V38" t="s">
        <v>33</v>
      </c>
      <c r="W38">
        <v>234.25</v>
      </c>
      <c r="X38" t="s">
        <v>14</v>
      </c>
      <c r="Y38">
        <v>53.5</v>
      </c>
      <c r="Z38" t="str">
        <f>_xlfn.IFNA(_xlfn.IFS(Y38&gt;Dash!$E$46, "Big", Y38&lt;Dash!$E$49, "Small", Y38&gt;Dash!$E$47, "Good"), "Norm")</f>
        <v>Norm</v>
      </c>
      <c r="AA38">
        <v>188.5</v>
      </c>
      <c r="AB38" t="str">
        <f>_xlfn.IFNA(_xlfn.IFS(AA38&gt;Dash!$F$46, "Big", AA38&lt;Dash!$F$49, "Small", AA38&gt;Dash!$F$47, "Good"), "Norm")</f>
        <v>Big</v>
      </c>
      <c r="AC38">
        <v>253</v>
      </c>
      <c r="AD38" t="str">
        <f>_xlfn.IFNA(_xlfn.IFS(AC38&gt;Dash!$G$46, "Big", AC38&lt;Dash!$G$49, "Small", AC38&gt;Dash!$G$47, "Good"), "Norm")</f>
        <v>Good</v>
      </c>
      <c r="AE38">
        <v>154.5</v>
      </c>
      <c r="AF38" t="str">
        <f>_xlfn.IFNA(_xlfn.IFS(AE38&gt;Dash!$H$46, "Big", AE38&lt;Dash!$H$49, "Small", AE38&gt;Dash!$H$47, "Good"), "Norm")</f>
        <v>Good</v>
      </c>
      <c r="AG38">
        <v>48.5</v>
      </c>
      <c r="AH38" t="str">
        <f>_xlfn.IFNA(_xlfn.IFS(AG38&gt;Dash!$I$46, "Big", AG38&lt;Dash!$I$49, "Small", AG38&gt;Dash!$I$47, "Good"), "Norm")</f>
        <v>Good</v>
      </c>
    </row>
    <row r="39" spans="1:34" x14ac:dyDescent="0.25">
      <c r="A39" s="1">
        <v>45223</v>
      </c>
      <c r="B39" t="s">
        <v>19</v>
      </c>
      <c r="C39" t="s">
        <v>33</v>
      </c>
      <c r="D39" t="s">
        <v>28</v>
      </c>
      <c r="E39">
        <v>172</v>
      </c>
      <c r="F39">
        <v>1000</v>
      </c>
      <c r="G39">
        <v>1000</v>
      </c>
      <c r="J39" t="s">
        <v>27</v>
      </c>
      <c r="K39" t="s">
        <v>35</v>
      </c>
      <c r="L39" t="s">
        <v>17</v>
      </c>
      <c r="M39" t="s">
        <v>23</v>
      </c>
      <c r="N39">
        <v>7</v>
      </c>
      <c r="O39" t="s">
        <v>64</v>
      </c>
      <c r="P39">
        <v>1200</v>
      </c>
      <c r="Q39">
        <v>1600</v>
      </c>
      <c r="R39" t="s">
        <v>13</v>
      </c>
      <c r="S39" t="s">
        <v>14</v>
      </c>
      <c r="T39">
        <v>339</v>
      </c>
      <c r="U39" t="str">
        <f>_xlfn.IFNA(_xlfn.IFS(E39&gt;Dash!$D$46, "Big", E39&lt;Dash!$D$49, "Small", E39&gt;Dash!$D$47, "Good"), "Norm")</f>
        <v>Norm</v>
      </c>
      <c r="V39" t="s">
        <v>33</v>
      </c>
      <c r="W39">
        <v>339.5</v>
      </c>
      <c r="X39" t="s">
        <v>46</v>
      </c>
      <c r="Y39">
        <v>67.5</v>
      </c>
      <c r="Z39" t="str">
        <f>_xlfn.IFNA(_xlfn.IFS(Y39&gt;Dash!$E$46, "Big", Y39&lt;Dash!$E$49, "Small", Y39&gt;Dash!$E$47, "Good"), "Norm")</f>
        <v>Norm</v>
      </c>
      <c r="AA39">
        <v>84.5</v>
      </c>
      <c r="AB39" t="str">
        <f>_xlfn.IFNA(_xlfn.IFS(AA39&gt;Dash!$F$46, "Big", AA39&lt;Dash!$F$49, "Small", AA39&gt;Dash!$F$47, "Good"), "Norm")</f>
        <v>Norm</v>
      </c>
      <c r="AC39">
        <v>119.5</v>
      </c>
      <c r="AD39" t="str">
        <f>_xlfn.IFNA(_xlfn.IFS(AC39&gt;Dash!$G$46, "Big", AC39&lt;Dash!$G$49, "Small", AC39&gt;Dash!$G$47, "Good"), "Norm")</f>
        <v>Norm</v>
      </c>
      <c r="AE39">
        <v>154.75</v>
      </c>
      <c r="AF39" t="str">
        <f>_xlfn.IFNA(_xlfn.IFS(AE39&gt;Dash!$H$46, "Big", AE39&lt;Dash!$H$49, "Small", AE39&gt;Dash!$H$47, "Good"), "Norm")</f>
        <v>Good</v>
      </c>
      <c r="AG39">
        <v>134.75</v>
      </c>
      <c r="AH39" t="str">
        <f>_xlfn.IFNA(_xlfn.IFS(AG39&gt;Dash!$I$46, "Big", AG39&lt;Dash!$I$49, "Small", AG39&gt;Dash!$I$47, "Good"), "Norm")</f>
        <v>Big</v>
      </c>
    </row>
    <row r="40" spans="1:34" x14ac:dyDescent="0.25">
      <c r="A40" s="1">
        <v>45224</v>
      </c>
      <c r="B40" t="s">
        <v>18</v>
      </c>
      <c r="C40" t="s">
        <v>13</v>
      </c>
      <c r="D40" t="s">
        <v>14</v>
      </c>
      <c r="E40">
        <v>339</v>
      </c>
      <c r="F40">
        <v>900</v>
      </c>
      <c r="J40" t="s">
        <v>45</v>
      </c>
      <c r="K40" t="s">
        <v>16</v>
      </c>
      <c r="L40" t="s">
        <v>17</v>
      </c>
      <c r="M40" t="s">
        <v>19</v>
      </c>
      <c r="N40">
        <v>7</v>
      </c>
      <c r="O40" t="s">
        <v>68</v>
      </c>
      <c r="P40">
        <v>1100</v>
      </c>
      <c r="Q40">
        <v>1600</v>
      </c>
      <c r="R40" t="s">
        <v>33</v>
      </c>
      <c r="S40" t="s">
        <v>47</v>
      </c>
      <c r="T40">
        <v>318.75</v>
      </c>
      <c r="U40" t="str">
        <f>_xlfn.IFNA(_xlfn.IFS(E40&gt;Dash!$D$46, "Big", E40&lt;Dash!$D$49, "Small", E40&gt;Dash!$D$47, "Good"), "Norm")</f>
        <v>Good</v>
      </c>
      <c r="V40" t="s">
        <v>33</v>
      </c>
      <c r="W40">
        <v>172</v>
      </c>
      <c r="X40" t="s">
        <v>28</v>
      </c>
      <c r="Y40">
        <v>94.75</v>
      </c>
      <c r="Z40" t="str">
        <f>_xlfn.IFNA(_xlfn.IFS(Y40&gt;Dash!$E$46, "Big", Y40&lt;Dash!$E$49, "Small", Y40&gt;Dash!$E$47, "Good"), "Norm")</f>
        <v>Good</v>
      </c>
      <c r="AA40">
        <v>70.75</v>
      </c>
      <c r="AB40" t="str">
        <f>_xlfn.IFNA(_xlfn.IFS(AA40&gt;Dash!$F$46, "Big", AA40&lt;Dash!$F$49, "Small", AA40&gt;Dash!$F$47, "Good"), "Norm")</f>
        <v>Norm</v>
      </c>
      <c r="AC40">
        <v>215</v>
      </c>
      <c r="AD40" t="str">
        <f>_xlfn.IFNA(_xlfn.IFS(AC40&gt;Dash!$G$46, "Big", AC40&lt;Dash!$G$49, "Small", AC40&gt;Dash!$G$47, "Good"), "Norm")</f>
        <v>Good</v>
      </c>
      <c r="AE40">
        <v>143.75</v>
      </c>
      <c r="AF40" t="str">
        <f>_xlfn.IFNA(_xlfn.IFS(AE40&gt;Dash!$H$46, "Big", AE40&lt;Dash!$H$49, "Small", AE40&gt;Dash!$H$47, "Good"), "Norm")</f>
        <v>Norm</v>
      </c>
      <c r="AG40">
        <v>90.25</v>
      </c>
      <c r="AH40" t="str">
        <f>_xlfn.IFNA(_xlfn.IFS(AG40&gt;Dash!$I$46, "Big", AG40&lt;Dash!$I$49, "Small", AG40&gt;Dash!$I$47, "Good"), "Norm")</f>
        <v>Big</v>
      </c>
    </row>
    <row r="41" spans="1:34" x14ac:dyDescent="0.25">
      <c r="A41" s="1">
        <v>45225</v>
      </c>
      <c r="B41" t="s">
        <v>36</v>
      </c>
      <c r="C41" t="s">
        <v>33</v>
      </c>
      <c r="D41" t="s">
        <v>47</v>
      </c>
      <c r="E41">
        <v>318.75</v>
      </c>
      <c r="F41">
        <v>1800</v>
      </c>
      <c r="J41" t="s">
        <v>27</v>
      </c>
      <c r="K41" t="s">
        <v>35</v>
      </c>
      <c r="L41" t="s">
        <v>17</v>
      </c>
      <c r="M41" t="s">
        <v>19</v>
      </c>
      <c r="N41">
        <v>7</v>
      </c>
      <c r="O41" t="s">
        <v>69</v>
      </c>
      <c r="P41">
        <v>1500</v>
      </c>
      <c r="Q41">
        <v>1500</v>
      </c>
      <c r="R41" t="s">
        <v>33</v>
      </c>
      <c r="S41">
        <v>1</v>
      </c>
      <c r="T41">
        <v>198</v>
      </c>
      <c r="U41" t="str">
        <f>_xlfn.IFNA(_xlfn.IFS(E41&gt;Dash!$D$46, "Big", E41&lt;Dash!$D$49, "Small", E41&gt;Dash!$D$47, "Good"), "Norm")</f>
        <v>Good</v>
      </c>
      <c r="V41" t="s">
        <v>13</v>
      </c>
      <c r="W41">
        <v>339</v>
      </c>
      <c r="X41" t="s">
        <v>14</v>
      </c>
      <c r="Y41">
        <v>127.75</v>
      </c>
      <c r="Z41" t="str">
        <f>_xlfn.IFNA(_xlfn.IFS(Y41&gt;Dash!$E$46, "Big", Y41&lt;Dash!$E$49, "Small", Y41&gt;Dash!$E$47, "Good"), "Norm")</f>
        <v>Good</v>
      </c>
      <c r="AA41">
        <v>110</v>
      </c>
      <c r="AB41" t="str">
        <f>_xlfn.IFNA(_xlfn.IFS(AA41&gt;Dash!$F$46, "Big", AA41&lt;Dash!$F$49, "Small", AA41&gt;Dash!$F$47, "Good"), "Norm")</f>
        <v>Good</v>
      </c>
      <c r="AC41">
        <v>231.5</v>
      </c>
      <c r="AD41" t="str">
        <f>_xlfn.IFNA(_xlfn.IFS(AC41&gt;Dash!$G$46, "Big", AC41&lt;Dash!$G$49, "Small", AC41&gt;Dash!$G$47, "Good"), "Norm")</f>
        <v>Good</v>
      </c>
      <c r="AE41">
        <v>192.25</v>
      </c>
      <c r="AF41" t="str">
        <f>_xlfn.IFNA(_xlfn.IFS(AE41&gt;Dash!$H$46, "Big", AE41&lt;Dash!$H$49, "Small", AE41&gt;Dash!$H$47, "Good"), "Norm")</f>
        <v>Good</v>
      </c>
      <c r="AG41">
        <v>78.5</v>
      </c>
      <c r="AH41" t="str">
        <f>_xlfn.IFNA(_xlfn.IFS(AG41&gt;Dash!$I$46, "Big", AG41&lt;Dash!$I$49, "Small", AG41&gt;Dash!$I$47, "Good"), "Norm")</f>
        <v>Good</v>
      </c>
    </row>
    <row r="42" spans="1:34" x14ac:dyDescent="0.25">
      <c r="A42" s="1">
        <v>45226</v>
      </c>
      <c r="B42" t="s">
        <v>26</v>
      </c>
      <c r="C42" t="s">
        <v>33</v>
      </c>
      <c r="D42">
        <v>1</v>
      </c>
      <c r="E42">
        <v>198</v>
      </c>
      <c r="J42" t="s">
        <v>34</v>
      </c>
      <c r="K42" t="s">
        <v>35</v>
      </c>
      <c r="L42" t="s">
        <v>17</v>
      </c>
      <c r="M42" t="s">
        <v>19</v>
      </c>
      <c r="N42">
        <v>7</v>
      </c>
      <c r="P42">
        <v>1100</v>
      </c>
      <c r="Q42">
        <v>1500</v>
      </c>
      <c r="R42" t="s">
        <v>24</v>
      </c>
      <c r="S42" t="s">
        <v>28</v>
      </c>
      <c r="T42">
        <v>170.25</v>
      </c>
      <c r="U42" t="str">
        <f>_xlfn.IFNA(_xlfn.IFS(E42&gt;Dash!$D$46, "Big", E42&lt;Dash!$D$49, "Small", E42&gt;Dash!$D$47, "Good"), "Norm")</f>
        <v>Norm</v>
      </c>
      <c r="V42" t="s">
        <v>33</v>
      </c>
      <c r="W42">
        <v>318.75</v>
      </c>
      <c r="X42" t="s">
        <v>47</v>
      </c>
      <c r="Y42">
        <v>79</v>
      </c>
      <c r="Z42" t="str">
        <f>_xlfn.IFNA(_xlfn.IFS(Y42&gt;Dash!$E$46, "Big", Y42&lt;Dash!$E$49, "Small", Y42&gt;Dash!$E$47, "Good"), "Norm")</f>
        <v>Good</v>
      </c>
      <c r="AA42">
        <v>67.5</v>
      </c>
      <c r="AB42" t="str">
        <f>_xlfn.IFNA(_xlfn.IFS(AA42&gt;Dash!$F$46, "Big", AA42&lt;Dash!$F$49, "Small", AA42&gt;Dash!$F$47, "Good"), "Norm")</f>
        <v>Norm</v>
      </c>
      <c r="AC42">
        <v>137.75</v>
      </c>
      <c r="AD42" t="str">
        <f>_xlfn.IFNA(_xlfn.IFS(AC42&gt;Dash!$G$46, "Big", AC42&lt;Dash!$G$49, "Small", AC42&gt;Dash!$G$47, "Good"), "Norm")</f>
        <v>Norm</v>
      </c>
      <c r="AE42">
        <v>172.25</v>
      </c>
      <c r="AF42" t="str">
        <f>_xlfn.IFNA(_xlfn.IFS(AE42&gt;Dash!$H$46, "Big", AE42&lt;Dash!$H$49, "Small", AE42&gt;Dash!$H$47, "Good"), "Norm")</f>
        <v>Good</v>
      </c>
      <c r="AG42">
        <v>20.75</v>
      </c>
      <c r="AH42" t="str">
        <f>_xlfn.IFNA(_xlfn.IFS(AG42&gt;Dash!$I$46, "Big", AG42&lt;Dash!$I$49, "Small", AG42&gt;Dash!$I$47, "Good"), "Norm")</f>
        <v>Small</v>
      </c>
    </row>
    <row r="43" spans="1:34" x14ac:dyDescent="0.25">
      <c r="A43" s="1">
        <v>45229</v>
      </c>
      <c r="B43" t="s">
        <v>23</v>
      </c>
      <c r="C43" t="s">
        <v>24</v>
      </c>
      <c r="D43" t="s">
        <v>28</v>
      </c>
      <c r="E43">
        <v>170.25</v>
      </c>
      <c r="F43">
        <v>900</v>
      </c>
      <c r="G43">
        <v>1000</v>
      </c>
      <c r="J43" t="s">
        <v>27</v>
      </c>
      <c r="K43" t="s">
        <v>31</v>
      </c>
      <c r="L43" t="s">
        <v>35</v>
      </c>
      <c r="M43" t="s">
        <v>19</v>
      </c>
      <c r="N43">
        <v>13</v>
      </c>
      <c r="P43">
        <v>1200</v>
      </c>
      <c r="Q43">
        <v>1500</v>
      </c>
      <c r="R43" t="s">
        <v>33</v>
      </c>
      <c r="S43" t="s">
        <v>28</v>
      </c>
      <c r="T43">
        <v>192.5</v>
      </c>
      <c r="U43" t="str">
        <f>_xlfn.IFNA(_xlfn.IFS(E43&gt;Dash!$D$46, "Big", E43&lt;Dash!$D$49, "Small", E43&gt;Dash!$D$47, "Good"), "Norm")</f>
        <v>Norm</v>
      </c>
      <c r="V43" t="s">
        <v>33</v>
      </c>
      <c r="W43">
        <v>198</v>
      </c>
      <c r="X43">
        <v>1</v>
      </c>
      <c r="Y43">
        <v>48.75</v>
      </c>
      <c r="Z43" t="str">
        <f>_xlfn.IFNA(_xlfn.IFS(Y43&gt;Dash!$E$46, "Big", Y43&lt;Dash!$E$49, "Small", Y43&gt;Dash!$E$47, "Good"), "Norm")</f>
        <v>Norm</v>
      </c>
      <c r="AA43">
        <v>54.75</v>
      </c>
      <c r="AB43" t="str">
        <f>_xlfn.IFNA(_xlfn.IFS(AA43&gt;Dash!$F$46, "Big", AA43&lt;Dash!$F$49, "Small", AA43&gt;Dash!$F$47, "Good"), "Norm")</f>
        <v>Small</v>
      </c>
      <c r="AC43">
        <v>170.25</v>
      </c>
      <c r="AD43" t="str">
        <f>_xlfn.IFNA(_xlfn.IFS(AC43&gt;Dash!$G$46, "Big", AC43&lt;Dash!$G$49, "Small", AC43&gt;Dash!$G$47, "Good"), "Norm")</f>
        <v>Norm</v>
      </c>
      <c r="AE43">
        <v>161.5</v>
      </c>
      <c r="AF43" t="str">
        <f>_xlfn.IFNA(_xlfn.IFS(AE43&gt;Dash!$H$46, "Big", AE43&lt;Dash!$H$49, "Small", AE43&gt;Dash!$H$47, "Good"), "Norm")</f>
        <v>Good</v>
      </c>
      <c r="AG43">
        <v>19.75</v>
      </c>
      <c r="AH43" t="str">
        <f>_xlfn.IFNA(_xlfn.IFS(AG43&gt;Dash!$I$46, "Big", AG43&lt;Dash!$I$49, "Small", AG43&gt;Dash!$I$47, "Good"), "Norm")</f>
        <v>Small</v>
      </c>
    </row>
    <row r="44" spans="1:34" x14ac:dyDescent="0.25">
      <c r="A44" s="1">
        <v>45230</v>
      </c>
      <c r="B44" t="s">
        <v>19</v>
      </c>
      <c r="C44" t="s">
        <v>33</v>
      </c>
      <c r="D44" t="s">
        <v>28</v>
      </c>
      <c r="E44">
        <v>192.5</v>
      </c>
      <c r="F44">
        <v>1300</v>
      </c>
      <c r="G44">
        <v>1600</v>
      </c>
      <c r="J44" t="s">
        <v>49</v>
      </c>
      <c r="K44" t="s">
        <v>25</v>
      </c>
      <c r="L44" t="s">
        <v>32</v>
      </c>
      <c r="M44" t="s">
        <v>19</v>
      </c>
      <c r="N44">
        <v>13</v>
      </c>
      <c r="P44">
        <v>900</v>
      </c>
      <c r="Q44">
        <v>1500</v>
      </c>
      <c r="R44" t="s">
        <v>20</v>
      </c>
      <c r="S44" t="s">
        <v>28</v>
      </c>
      <c r="T44">
        <v>344.75</v>
      </c>
      <c r="U44" t="str">
        <f>_xlfn.IFNA(_xlfn.IFS(E44&gt;Dash!$D$46, "Big", E44&lt;Dash!$D$49, "Small", E44&gt;Dash!$D$47, "Good"), "Norm")</f>
        <v>Norm</v>
      </c>
      <c r="V44" t="s">
        <v>24</v>
      </c>
      <c r="W44">
        <v>170.25</v>
      </c>
      <c r="X44" t="s">
        <v>28</v>
      </c>
      <c r="Y44">
        <v>90.25</v>
      </c>
      <c r="Z44" t="str">
        <f>_xlfn.IFNA(_xlfn.IFS(Y44&gt;Dash!$E$46, "Big", Y44&lt;Dash!$E$49, "Small", Y44&gt;Dash!$E$47, "Good"), "Norm")</f>
        <v>Good</v>
      </c>
      <c r="AA44">
        <v>128.5</v>
      </c>
      <c r="AB44" t="str">
        <f>_xlfn.IFNA(_xlfn.IFS(AA44&gt;Dash!$F$46, "Big", AA44&lt;Dash!$F$49, "Small", AA44&gt;Dash!$F$47, "Good"), "Norm")</f>
        <v>Good</v>
      </c>
      <c r="AC44">
        <v>142.75</v>
      </c>
      <c r="AD44" t="str">
        <f>_xlfn.IFNA(_xlfn.IFS(AC44&gt;Dash!$G$46, "Big", AC44&lt;Dash!$G$49, "Small", AC44&gt;Dash!$G$47, "Good"), "Norm")</f>
        <v>Norm</v>
      </c>
      <c r="AE44">
        <v>134.5</v>
      </c>
      <c r="AF44" t="str">
        <f>_xlfn.IFNA(_xlfn.IFS(AE44&gt;Dash!$H$46, "Big", AE44&lt;Dash!$H$49, "Small", AE44&gt;Dash!$H$47, "Good"), "Norm")</f>
        <v>Norm</v>
      </c>
      <c r="AG44">
        <v>47.25</v>
      </c>
      <c r="AH44" t="str">
        <f>_xlfn.IFNA(_xlfn.IFS(AG44&gt;Dash!$I$46, "Big", AG44&lt;Dash!$I$49, "Small", AG44&gt;Dash!$I$47, "Good"), "Norm")</f>
        <v>Good</v>
      </c>
    </row>
    <row r="45" spans="1:34" x14ac:dyDescent="0.25">
      <c r="A45" s="1">
        <v>45231</v>
      </c>
      <c r="B45" t="s">
        <v>18</v>
      </c>
      <c r="C45" t="s">
        <v>20</v>
      </c>
      <c r="D45" t="s">
        <v>28</v>
      </c>
      <c r="E45">
        <v>344.75</v>
      </c>
      <c r="F45">
        <v>800</v>
      </c>
      <c r="G45">
        <v>800</v>
      </c>
      <c r="J45" t="s">
        <v>27</v>
      </c>
      <c r="K45" t="s">
        <v>39</v>
      </c>
      <c r="L45" t="s">
        <v>32</v>
      </c>
      <c r="M45" t="s">
        <v>19</v>
      </c>
      <c r="N45">
        <v>13</v>
      </c>
      <c r="P45">
        <v>1400</v>
      </c>
      <c r="Q45">
        <v>1500</v>
      </c>
      <c r="R45" t="s">
        <v>13</v>
      </c>
      <c r="S45" t="s">
        <v>28</v>
      </c>
      <c r="T45">
        <v>139</v>
      </c>
      <c r="U45" t="str">
        <f>_xlfn.IFNA(_xlfn.IFS(E45&gt;Dash!$D$46, "Big", E45&lt;Dash!$D$49, "Small", E45&gt;Dash!$D$47, "Good"), "Norm")</f>
        <v>Good</v>
      </c>
      <c r="V45" t="s">
        <v>33</v>
      </c>
      <c r="W45">
        <v>192.5</v>
      </c>
      <c r="X45" t="s">
        <v>28</v>
      </c>
      <c r="Y45">
        <v>39.25</v>
      </c>
      <c r="Z45" t="str">
        <f>_xlfn.IFNA(_xlfn.IFS(Y45&gt;Dash!$E$46, "Big", Y45&lt;Dash!$E$49, "Small", Y45&gt;Dash!$E$47, "Good"), "Norm")</f>
        <v>Small</v>
      </c>
      <c r="AA45">
        <v>81.5</v>
      </c>
      <c r="AB45" t="str">
        <f>_xlfn.IFNA(_xlfn.IFS(AA45&gt;Dash!$F$46, "Big", AA45&lt;Dash!$F$49, "Small", AA45&gt;Dash!$F$47, "Good"), "Norm")</f>
        <v>Norm</v>
      </c>
      <c r="AC45">
        <v>232.25</v>
      </c>
      <c r="AD45" t="str">
        <f>_xlfn.IFNA(_xlfn.IFS(AC45&gt;Dash!$G$46, "Big", AC45&lt;Dash!$G$49, "Small", AC45&gt;Dash!$G$47, "Good"), "Norm")</f>
        <v>Good</v>
      </c>
      <c r="AE45">
        <v>204</v>
      </c>
      <c r="AF45" t="str">
        <f>_xlfn.IFNA(_xlfn.IFS(AE45&gt;Dash!$H$46, "Big", AE45&lt;Dash!$H$49, "Small", AE45&gt;Dash!$H$47, "Good"), "Norm")</f>
        <v>Good</v>
      </c>
      <c r="AG45">
        <v>28.5</v>
      </c>
      <c r="AH45" t="str">
        <f>_xlfn.IFNA(_xlfn.IFS(AG45&gt;Dash!$I$46, "Big", AG45&lt;Dash!$I$49, "Small", AG45&gt;Dash!$I$47, "Good"), "Norm")</f>
        <v>Norm</v>
      </c>
    </row>
    <row r="46" spans="1:34" x14ac:dyDescent="0.25">
      <c r="A46" s="1">
        <v>45232</v>
      </c>
      <c r="B46" t="s">
        <v>36</v>
      </c>
      <c r="C46" t="s">
        <v>13</v>
      </c>
      <c r="D46" t="s">
        <v>28</v>
      </c>
      <c r="E46">
        <v>139</v>
      </c>
      <c r="F46">
        <v>800</v>
      </c>
      <c r="G46">
        <v>800</v>
      </c>
      <c r="J46" t="s">
        <v>29</v>
      </c>
      <c r="K46" t="s">
        <v>31</v>
      </c>
      <c r="L46" t="s">
        <v>32</v>
      </c>
      <c r="M46" t="s">
        <v>19</v>
      </c>
      <c r="N46">
        <v>13</v>
      </c>
      <c r="O46" t="s">
        <v>70</v>
      </c>
      <c r="P46">
        <v>1200</v>
      </c>
      <c r="Q46">
        <v>1600</v>
      </c>
      <c r="R46" t="s">
        <v>13</v>
      </c>
      <c r="S46" t="s">
        <v>28</v>
      </c>
      <c r="T46">
        <v>288.5</v>
      </c>
      <c r="U46" t="str">
        <f>_xlfn.IFNA(_xlfn.IFS(E46&gt;Dash!$D$46, "Big", E46&lt;Dash!$D$49, "Small", E46&gt;Dash!$D$47, "Good"), "Norm")</f>
        <v>Small</v>
      </c>
      <c r="V46" t="s">
        <v>20</v>
      </c>
      <c r="W46">
        <v>344.75</v>
      </c>
      <c r="X46" t="s">
        <v>28</v>
      </c>
      <c r="Y46">
        <v>57.5</v>
      </c>
      <c r="Z46" t="str">
        <f>_xlfn.IFNA(_xlfn.IFS(Y46&gt;Dash!$E$46, "Big", Y46&lt;Dash!$E$49, "Small", Y46&gt;Dash!$E$47, "Good"), "Norm")</f>
        <v>Norm</v>
      </c>
      <c r="AA46">
        <v>104.75</v>
      </c>
      <c r="AB46" t="str">
        <f>_xlfn.IFNA(_xlfn.IFS(AA46&gt;Dash!$F$46, "Big", AA46&lt;Dash!$F$49, "Small", AA46&gt;Dash!$F$47, "Good"), "Norm")</f>
        <v>Good</v>
      </c>
      <c r="AC46">
        <v>102.5</v>
      </c>
      <c r="AD46" t="str">
        <f>_xlfn.IFNA(_xlfn.IFS(AC46&gt;Dash!$G$46, "Big", AC46&lt;Dash!$G$49, "Small", AC46&gt;Dash!$G$47, "Good"), "Norm")</f>
        <v>Small</v>
      </c>
      <c r="AE46">
        <v>85.75</v>
      </c>
      <c r="AF46" t="str">
        <f>_xlfn.IFNA(_xlfn.IFS(AE46&gt;Dash!$H$46, "Big", AE46&lt;Dash!$H$49, "Small", AE46&gt;Dash!$H$47, "Good"), "Norm")</f>
        <v>Small</v>
      </c>
      <c r="AG46">
        <v>84.25</v>
      </c>
      <c r="AH46" t="str">
        <f>_xlfn.IFNA(_xlfn.IFS(AG46&gt;Dash!$I$46, "Big", AG46&lt;Dash!$I$49, "Small", AG46&gt;Dash!$I$47, "Good"), "Norm")</f>
        <v>Good</v>
      </c>
    </row>
    <row r="47" spans="1:34" x14ac:dyDescent="0.25">
      <c r="A47" s="1">
        <v>45233</v>
      </c>
      <c r="B47" t="s">
        <v>26</v>
      </c>
      <c r="C47" t="s">
        <v>13</v>
      </c>
      <c r="D47" t="s">
        <v>28</v>
      </c>
      <c r="E47">
        <v>288.5</v>
      </c>
      <c r="F47">
        <v>800</v>
      </c>
      <c r="J47" t="s">
        <v>27</v>
      </c>
      <c r="K47" t="s">
        <v>31</v>
      </c>
      <c r="L47" t="s">
        <v>32</v>
      </c>
      <c r="M47" t="s">
        <v>19</v>
      </c>
      <c r="N47">
        <v>13</v>
      </c>
      <c r="P47">
        <v>700</v>
      </c>
      <c r="Q47">
        <v>1500</v>
      </c>
      <c r="R47" t="s">
        <v>33</v>
      </c>
      <c r="S47" t="s">
        <v>43</v>
      </c>
      <c r="T47">
        <v>119.5</v>
      </c>
      <c r="U47" t="str">
        <f>_xlfn.IFNA(_xlfn.IFS(E47&gt;Dash!$D$46, "Big", E47&lt;Dash!$D$49, "Small", E47&gt;Dash!$D$47, "Good"), "Norm")</f>
        <v>Good</v>
      </c>
      <c r="V47" t="s">
        <v>13</v>
      </c>
      <c r="W47">
        <v>139</v>
      </c>
      <c r="X47" t="s">
        <v>28</v>
      </c>
      <c r="Y47">
        <v>42.25</v>
      </c>
      <c r="Z47" t="str">
        <f>_xlfn.IFNA(_xlfn.IFS(Y47&gt;Dash!$E$46, "Big", Y47&lt;Dash!$E$49, "Small", Y47&gt;Dash!$E$47, "Good"), "Norm")</f>
        <v>Norm</v>
      </c>
      <c r="AA47">
        <v>42</v>
      </c>
      <c r="AB47" t="str">
        <f>_xlfn.IFNA(_xlfn.IFS(AA47&gt;Dash!$F$46, "Big", AA47&lt;Dash!$F$49, "Small", AA47&gt;Dash!$F$47, "Good"), "Norm")</f>
        <v>Small</v>
      </c>
      <c r="AC47">
        <v>223.25</v>
      </c>
      <c r="AD47" t="str">
        <f>_xlfn.IFNA(_xlfn.IFS(AC47&gt;Dash!$G$46, "Big", AC47&lt;Dash!$G$49, "Small", AC47&gt;Dash!$G$47, "Good"), "Norm")</f>
        <v>Good</v>
      </c>
      <c r="AE47">
        <v>92.75</v>
      </c>
      <c r="AF47" t="str">
        <f>_xlfn.IFNA(_xlfn.IFS(AE47&gt;Dash!$H$46, "Big", AE47&lt;Dash!$H$49, "Small", AE47&gt;Dash!$H$47, "Good"), "Norm")</f>
        <v>Norm</v>
      </c>
      <c r="AG47">
        <v>18.25</v>
      </c>
      <c r="AH47" t="str">
        <f>_xlfn.IFNA(_xlfn.IFS(AG47&gt;Dash!$I$46, "Big", AG47&lt;Dash!$I$49, "Small", AG47&gt;Dash!$I$47, "Good"), "Norm")</f>
        <v>Small</v>
      </c>
    </row>
    <row r="48" spans="1:34" x14ac:dyDescent="0.25">
      <c r="A48" s="1">
        <v>45236</v>
      </c>
      <c r="B48" t="s">
        <v>23</v>
      </c>
      <c r="C48" t="s">
        <v>33</v>
      </c>
      <c r="D48" t="s">
        <v>43</v>
      </c>
      <c r="E48">
        <v>119.5</v>
      </c>
      <c r="F48">
        <v>900</v>
      </c>
      <c r="G48">
        <v>900</v>
      </c>
      <c r="J48" t="s">
        <v>27</v>
      </c>
      <c r="K48" t="s">
        <v>35</v>
      </c>
      <c r="L48" t="s">
        <v>17</v>
      </c>
      <c r="M48" t="s">
        <v>19</v>
      </c>
      <c r="N48">
        <v>5</v>
      </c>
      <c r="P48">
        <v>1300</v>
      </c>
      <c r="Q48">
        <v>1500</v>
      </c>
      <c r="R48" t="s">
        <v>20</v>
      </c>
      <c r="S48" t="s">
        <v>28</v>
      </c>
      <c r="T48">
        <v>192.75</v>
      </c>
      <c r="U48" t="str">
        <f>_xlfn.IFNA(_xlfn.IFS(E48&gt;Dash!$D$46, "Big", E48&lt;Dash!$D$49, "Small", E48&gt;Dash!$D$47, "Good"), "Norm")</f>
        <v>Small</v>
      </c>
      <c r="V48" t="s">
        <v>13</v>
      </c>
      <c r="W48">
        <v>288.5</v>
      </c>
      <c r="X48" t="s">
        <v>28</v>
      </c>
      <c r="Y48">
        <v>39.75</v>
      </c>
      <c r="Z48" t="str">
        <f>_xlfn.IFNA(_xlfn.IFS(Y48&gt;Dash!$E$46, "Big", Y48&lt;Dash!$E$49, "Small", Y48&gt;Dash!$E$47, "Good"), "Norm")</f>
        <v>Small</v>
      </c>
      <c r="AA48">
        <v>41.25</v>
      </c>
      <c r="AB48" t="str">
        <f>_xlfn.IFNA(_xlfn.IFS(AA48&gt;Dash!$F$46, "Big", AA48&lt;Dash!$F$49, "Small", AA48&gt;Dash!$F$47, "Good"), "Norm")</f>
        <v>Small</v>
      </c>
      <c r="AC48">
        <v>72.5</v>
      </c>
      <c r="AD48" t="str">
        <f>_xlfn.IFNA(_xlfn.IFS(AC48&gt;Dash!$G$46, "Big", AC48&lt;Dash!$G$49, "Small", AC48&gt;Dash!$G$47, "Good"), "Norm")</f>
        <v>Small</v>
      </c>
      <c r="AE48">
        <v>98.5</v>
      </c>
      <c r="AF48" t="str">
        <f>_xlfn.IFNA(_xlfn.IFS(AE48&gt;Dash!$H$46, "Big", AE48&lt;Dash!$H$49, "Small", AE48&gt;Dash!$H$47, "Good"), "Norm")</f>
        <v>Norm</v>
      </c>
      <c r="AG48">
        <v>19</v>
      </c>
      <c r="AH48" t="str">
        <f>_xlfn.IFNA(_xlfn.IFS(AG48&gt;Dash!$I$46, "Big", AG48&lt;Dash!$I$49, "Small", AG48&gt;Dash!$I$47, "Good"), "Norm")</f>
        <v>Small</v>
      </c>
    </row>
    <row r="49" spans="1:34" x14ac:dyDescent="0.25">
      <c r="A49" s="1">
        <v>45237</v>
      </c>
      <c r="B49" t="s">
        <v>19</v>
      </c>
      <c r="C49" t="s">
        <v>20</v>
      </c>
      <c r="D49" t="s">
        <v>28</v>
      </c>
      <c r="E49">
        <v>192.75</v>
      </c>
      <c r="F49">
        <v>900</v>
      </c>
      <c r="J49" t="s">
        <v>27</v>
      </c>
      <c r="K49" t="s">
        <v>39</v>
      </c>
      <c r="L49" t="s">
        <v>32</v>
      </c>
      <c r="M49" t="s">
        <v>19</v>
      </c>
      <c r="N49">
        <v>5</v>
      </c>
      <c r="P49">
        <v>1200</v>
      </c>
      <c r="Q49">
        <v>1500</v>
      </c>
      <c r="R49" t="s">
        <v>33</v>
      </c>
      <c r="S49" t="s">
        <v>43</v>
      </c>
      <c r="T49">
        <v>130.75</v>
      </c>
      <c r="U49" t="str">
        <f>_xlfn.IFNA(_xlfn.IFS(E49&gt;Dash!$D$46, "Big", E49&lt;Dash!$D$49, "Small", E49&gt;Dash!$D$47, "Good"), "Norm")</f>
        <v>Norm</v>
      </c>
      <c r="V49" t="s">
        <v>33</v>
      </c>
      <c r="W49">
        <v>119.5</v>
      </c>
      <c r="X49" t="s">
        <v>43</v>
      </c>
      <c r="Y49">
        <v>30</v>
      </c>
      <c r="Z49" t="str">
        <f>_xlfn.IFNA(_xlfn.IFS(Y49&gt;Dash!$E$46, "Big", Y49&lt;Dash!$E$49, "Small", Y49&gt;Dash!$E$47, "Good"), "Norm")</f>
        <v>Small</v>
      </c>
      <c r="AA49">
        <v>51.25</v>
      </c>
      <c r="AB49" t="str">
        <f>_xlfn.IFNA(_xlfn.IFS(AA49&gt;Dash!$F$46, "Big", AA49&lt;Dash!$F$49, "Small", AA49&gt;Dash!$F$47, "Good"), "Norm")</f>
        <v>Small</v>
      </c>
      <c r="AC49">
        <v>183.25</v>
      </c>
      <c r="AD49" t="str">
        <f>_xlfn.IFNA(_xlfn.IFS(AC49&gt;Dash!$G$46, "Big", AC49&lt;Dash!$G$49, "Small", AC49&gt;Dash!$G$47, "Good"), "Norm")</f>
        <v>Norm</v>
      </c>
      <c r="AE49">
        <v>83</v>
      </c>
      <c r="AF49" t="str">
        <f>_xlfn.IFNA(_xlfn.IFS(AE49&gt;Dash!$H$46, "Big", AE49&lt;Dash!$H$49, "Small", AE49&gt;Dash!$H$47, "Good"), "Norm")</f>
        <v>Small</v>
      </c>
      <c r="AG49">
        <v>9.5</v>
      </c>
      <c r="AH49" t="str">
        <f>_xlfn.IFNA(_xlfn.IFS(AG49&gt;Dash!$I$46, "Big", AG49&lt;Dash!$I$49, "Small", AG49&gt;Dash!$I$47, "Good"), "Norm")</f>
        <v>Small</v>
      </c>
    </row>
    <row r="50" spans="1:34" x14ac:dyDescent="0.25">
      <c r="A50" s="1">
        <v>45238</v>
      </c>
      <c r="B50" t="s">
        <v>18</v>
      </c>
      <c r="C50" t="s">
        <v>33</v>
      </c>
      <c r="D50" t="s">
        <v>43</v>
      </c>
      <c r="E50">
        <v>130.75</v>
      </c>
      <c r="F50">
        <v>900</v>
      </c>
      <c r="G50">
        <v>900</v>
      </c>
      <c r="J50" t="s">
        <v>27</v>
      </c>
      <c r="K50" t="s">
        <v>35</v>
      </c>
      <c r="L50" t="s">
        <v>17</v>
      </c>
      <c r="M50" t="s">
        <v>19</v>
      </c>
      <c r="N50">
        <v>5</v>
      </c>
      <c r="P50">
        <v>1200</v>
      </c>
      <c r="Q50">
        <v>1500</v>
      </c>
      <c r="R50" t="s">
        <v>33</v>
      </c>
      <c r="S50" t="s">
        <v>43</v>
      </c>
      <c r="T50">
        <v>217</v>
      </c>
      <c r="U50" t="str">
        <f>_xlfn.IFNA(_xlfn.IFS(E50&gt;Dash!$D$46, "Big", E50&lt;Dash!$D$49, "Small", E50&gt;Dash!$D$47, "Good"), "Norm")</f>
        <v>Small</v>
      </c>
      <c r="V50" t="s">
        <v>20</v>
      </c>
      <c r="W50">
        <v>192.75</v>
      </c>
      <c r="X50" t="s">
        <v>28</v>
      </c>
      <c r="Y50">
        <v>37.25</v>
      </c>
      <c r="Z50" t="str">
        <f>_xlfn.IFNA(_xlfn.IFS(Y50&gt;Dash!$E$46, "Big", Y50&lt;Dash!$E$49, "Small", Y50&gt;Dash!$E$47, "Good"), "Norm")</f>
        <v>Small</v>
      </c>
      <c r="AA50">
        <v>42.5</v>
      </c>
      <c r="AB50" t="str">
        <f>_xlfn.IFNA(_xlfn.IFS(AA50&gt;Dash!$F$46, "Big", AA50&lt;Dash!$F$49, "Small", AA50&gt;Dash!$F$47, "Good"), "Norm")</f>
        <v>Small</v>
      </c>
      <c r="AC50">
        <v>87</v>
      </c>
      <c r="AD50" t="str">
        <f>_xlfn.IFNA(_xlfn.IFS(AC50&gt;Dash!$G$46, "Big", AC50&lt;Dash!$G$49, "Small", AC50&gt;Dash!$G$47, "Good"), "Norm")</f>
        <v>Small</v>
      </c>
      <c r="AE50">
        <v>107.75</v>
      </c>
      <c r="AF50" t="str">
        <f>_xlfn.IFNA(_xlfn.IFS(AE50&gt;Dash!$H$46, "Big", AE50&lt;Dash!$H$49, "Small", AE50&gt;Dash!$H$47, "Good"), "Norm")</f>
        <v>Norm</v>
      </c>
      <c r="AG50">
        <v>26</v>
      </c>
      <c r="AH50" t="str">
        <f>_xlfn.IFNA(_xlfn.IFS(AG50&gt;Dash!$I$46, "Big", AG50&lt;Dash!$I$49, "Small", AG50&gt;Dash!$I$47, "Good"), "Norm")</f>
        <v>Norm</v>
      </c>
    </row>
    <row r="51" spans="1:34" x14ac:dyDescent="0.25">
      <c r="A51" s="1">
        <v>45239</v>
      </c>
      <c r="B51" t="s">
        <v>36</v>
      </c>
      <c r="C51" t="s">
        <v>33</v>
      </c>
      <c r="D51" t="s">
        <v>43</v>
      </c>
      <c r="E51">
        <v>217</v>
      </c>
      <c r="F51">
        <v>900</v>
      </c>
      <c r="G51">
        <v>1000</v>
      </c>
      <c r="J51" t="s">
        <v>27</v>
      </c>
      <c r="K51" t="s">
        <v>35</v>
      </c>
      <c r="L51" t="s">
        <v>25</v>
      </c>
      <c r="M51" t="s">
        <v>19</v>
      </c>
      <c r="N51">
        <v>5</v>
      </c>
      <c r="P51">
        <v>1100</v>
      </c>
      <c r="Q51">
        <v>1500</v>
      </c>
      <c r="R51" t="s">
        <v>20</v>
      </c>
      <c r="S51" t="s">
        <v>38</v>
      </c>
      <c r="T51">
        <v>339.25</v>
      </c>
      <c r="U51" t="str">
        <f>_xlfn.IFNA(_xlfn.IFS(E51&gt;Dash!$D$46, "Big", E51&lt;Dash!$D$49, "Small", E51&gt;Dash!$D$47, "Good"), "Norm")</f>
        <v>Norm</v>
      </c>
      <c r="V51" t="s">
        <v>33</v>
      </c>
      <c r="W51">
        <v>130.75</v>
      </c>
      <c r="X51" t="s">
        <v>43</v>
      </c>
      <c r="Y51">
        <v>47.25</v>
      </c>
      <c r="Z51" t="str">
        <f>_xlfn.IFNA(_xlfn.IFS(Y51&gt;Dash!$E$46, "Big", Y51&lt;Dash!$E$49, "Small", Y51&gt;Dash!$E$47, "Good"), "Norm")</f>
        <v>Norm</v>
      </c>
      <c r="AA51">
        <v>40.5</v>
      </c>
      <c r="AB51" t="str">
        <f>_xlfn.IFNA(_xlfn.IFS(AA51&gt;Dash!$F$46, "Big", AA51&lt;Dash!$F$49, "Small", AA51&gt;Dash!$F$47, "Good"), "Norm")</f>
        <v>Small</v>
      </c>
      <c r="AC51">
        <v>107.75</v>
      </c>
      <c r="AD51" t="str">
        <f>_xlfn.IFNA(_xlfn.IFS(AC51&gt;Dash!$G$46, "Big", AC51&lt;Dash!$G$49, "Small", AC51&gt;Dash!$G$47, "Good"), "Norm")</f>
        <v>Small</v>
      </c>
      <c r="AE51">
        <v>207.5</v>
      </c>
      <c r="AF51" t="str">
        <f>_xlfn.IFNA(_xlfn.IFS(AE51&gt;Dash!$H$46, "Big", AE51&lt;Dash!$H$49, "Small", AE51&gt;Dash!$H$47, "Good"), "Norm")</f>
        <v>Good</v>
      </c>
      <c r="AG51">
        <v>11.5</v>
      </c>
      <c r="AH51" t="str">
        <f>_xlfn.IFNA(_xlfn.IFS(AG51&gt;Dash!$I$46, "Big", AG51&lt;Dash!$I$49, "Small", AG51&gt;Dash!$I$47, "Good"), "Norm")</f>
        <v>Small</v>
      </c>
    </row>
    <row r="52" spans="1:34" x14ac:dyDescent="0.25">
      <c r="A52" s="1">
        <v>45240</v>
      </c>
      <c r="B52" t="s">
        <v>26</v>
      </c>
      <c r="C52" t="s">
        <v>20</v>
      </c>
      <c r="D52" t="s">
        <v>38</v>
      </c>
      <c r="E52">
        <v>339.25</v>
      </c>
      <c r="F52">
        <v>1800</v>
      </c>
      <c r="G52">
        <v>2000</v>
      </c>
      <c r="H52">
        <v>1200</v>
      </c>
      <c r="J52" t="s">
        <v>37</v>
      </c>
      <c r="K52" t="s">
        <v>39</v>
      </c>
      <c r="L52" t="s">
        <v>44</v>
      </c>
      <c r="M52" t="s">
        <v>19</v>
      </c>
      <c r="N52">
        <v>5</v>
      </c>
      <c r="P52">
        <v>600</v>
      </c>
      <c r="Q52">
        <v>900</v>
      </c>
      <c r="R52" t="s">
        <v>24</v>
      </c>
      <c r="S52">
        <v>1</v>
      </c>
      <c r="T52">
        <v>124.25</v>
      </c>
      <c r="U52" t="str">
        <f>_xlfn.IFNA(_xlfn.IFS(E52&gt;Dash!$D$46, "Big", E52&lt;Dash!$D$49, "Small", E52&gt;Dash!$D$47, "Good"), "Norm")</f>
        <v>Good</v>
      </c>
      <c r="V52" t="s">
        <v>33</v>
      </c>
      <c r="W52">
        <v>217</v>
      </c>
      <c r="X52" t="s">
        <v>43</v>
      </c>
      <c r="Y52">
        <v>47</v>
      </c>
      <c r="Z52" t="str">
        <f>_xlfn.IFNA(_xlfn.IFS(Y52&gt;Dash!$E$46, "Big", Y52&lt;Dash!$E$49, "Small", Y52&gt;Dash!$E$47, "Good"), "Norm")</f>
        <v>Norm</v>
      </c>
      <c r="AA52">
        <v>75.75</v>
      </c>
      <c r="AB52" t="str">
        <f>_xlfn.IFNA(_xlfn.IFS(AA52&gt;Dash!$F$46, "Big", AA52&lt;Dash!$F$49, "Small", AA52&gt;Dash!$F$47, "Good"), "Norm")</f>
        <v>Norm</v>
      </c>
      <c r="AC52">
        <v>186.75</v>
      </c>
      <c r="AD52" t="str">
        <f>_xlfn.IFNA(_xlfn.IFS(AC52&gt;Dash!$G$46, "Big", AC52&lt;Dash!$G$49, "Small", AC52&gt;Dash!$G$47, "Good"), "Norm")</f>
        <v>Norm</v>
      </c>
      <c r="AE52">
        <v>159.5</v>
      </c>
      <c r="AF52" t="str">
        <f>_xlfn.IFNA(_xlfn.IFS(AE52&gt;Dash!$H$46, "Big", AE52&lt;Dash!$H$49, "Small", AE52&gt;Dash!$H$47, "Good"), "Norm")</f>
        <v>Good</v>
      </c>
      <c r="AG52">
        <v>35.5</v>
      </c>
      <c r="AH52" t="str">
        <f>_xlfn.IFNA(_xlfn.IFS(AG52&gt;Dash!$I$46, "Big", AG52&lt;Dash!$I$49, "Small", AG52&gt;Dash!$I$47, "Good"), "Norm")</f>
        <v>Norm</v>
      </c>
    </row>
    <row r="53" spans="1:34" x14ac:dyDescent="0.25">
      <c r="A53" s="1">
        <v>45243</v>
      </c>
      <c r="B53" t="s">
        <v>23</v>
      </c>
      <c r="C53" t="s">
        <v>24</v>
      </c>
      <c r="D53">
        <v>1</v>
      </c>
      <c r="E53">
        <v>124.25</v>
      </c>
      <c r="J53" t="s">
        <v>34</v>
      </c>
      <c r="K53" t="s">
        <v>16</v>
      </c>
      <c r="L53" t="s">
        <v>25</v>
      </c>
      <c r="M53" t="s">
        <v>19</v>
      </c>
      <c r="N53">
        <v>9</v>
      </c>
      <c r="P53">
        <v>1400</v>
      </c>
      <c r="Q53">
        <v>1500</v>
      </c>
      <c r="R53" t="s">
        <v>13</v>
      </c>
      <c r="S53" t="s">
        <v>28</v>
      </c>
      <c r="T53">
        <v>366.75</v>
      </c>
      <c r="U53" t="str">
        <f>_xlfn.IFNA(_xlfn.IFS(E53&gt;Dash!$D$46, "Big", E53&lt;Dash!$D$49, "Small", E53&gt;Dash!$D$47, "Good"), "Norm")</f>
        <v>Small</v>
      </c>
      <c r="V53" t="s">
        <v>20</v>
      </c>
      <c r="W53">
        <v>339.25</v>
      </c>
      <c r="X53" t="s">
        <v>38</v>
      </c>
      <c r="Y53">
        <v>91.75</v>
      </c>
      <c r="Z53" t="str">
        <f>_xlfn.IFNA(_xlfn.IFS(Y53&gt;Dash!$E$46, "Big", Y53&lt;Dash!$E$49, "Small", Y53&gt;Dash!$E$47, "Good"), "Norm")</f>
        <v>Good</v>
      </c>
      <c r="AA53">
        <v>43.25</v>
      </c>
      <c r="AB53" t="str">
        <f>_xlfn.IFNA(_xlfn.IFS(AA53&gt;Dash!$F$46, "Big", AA53&lt;Dash!$F$49, "Small", AA53&gt;Dash!$F$47, "Good"), "Norm")</f>
        <v>Small</v>
      </c>
      <c r="AC53">
        <v>125.25</v>
      </c>
      <c r="AD53" t="str">
        <f>_xlfn.IFNA(_xlfn.IFS(AC53&gt;Dash!$G$46, "Big", AC53&lt;Dash!$G$49, "Small", AC53&gt;Dash!$G$47, "Good"), "Norm")</f>
        <v>Norm</v>
      </c>
      <c r="AE53">
        <v>52</v>
      </c>
      <c r="AF53" t="str">
        <f>_xlfn.IFNA(_xlfn.IFS(AE53&gt;Dash!$H$46, "Big", AE53&lt;Dash!$H$49, "Small", AE53&gt;Dash!$H$47, "Good"), "Norm")</f>
        <v>Small</v>
      </c>
      <c r="AG53">
        <v>14</v>
      </c>
      <c r="AH53" t="str">
        <f>_xlfn.IFNA(_xlfn.IFS(AG53&gt;Dash!$I$46, "Big", AG53&lt;Dash!$I$49, "Small", AG53&gt;Dash!$I$47, "Good"), "Norm")</f>
        <v>Small</v>
      </c>
    </row>
    <row r="54" spans="1:34" x14ac:dyDescent="0.25">
      <c r="A54" s="1">
        <v>45244</v>
      </c>
      <c r="B54" t="s">
        <v>19</v>
      </c>
      <c r="C54" t="s">
        <v>13</v>
      </c>
      <c r="D54" t="s">
        <v>28</v>
      </c>
      <c r="E54">
        <v>366.75</v>
      </c>
      <c r="F54">
        <v>800</v>
      </c>
      <c r="J54" t="s">
        <v>30</v>
      </c>
      <c r="K54" t="s">
        <v>31</v>
      </c>
      <c r="L54" t="s">
        <v>32</v>
      </c>
      <c r="M54" t="s">
        <v>19</v>
      </c>
      <c r="N54">
        <v>9</v>
      </c>
      <c r="P54">
        <v>1400</v>
      </c>
      <c r="Q54">
        <v>1500</v>
      </c>
      <c r="R54" t="s">
        <v>33</v>
      </c>
      <c r="S54" t="s">
        <v>43</v>
      </c>
      <c r="T54">
        <v>217</v>
      </c>
      <c r="U54" t="str">
        <f>_xlfn.IFNA(_xlfn.IFS(E54&gt;Dash!$D$46, "Big", E54&lt;Dash!$D$49, "Small", E54&gt;Dash!$D$47, "Good"), "Norm")</f>
        <v>Good</v>
      </c>
      <c r="V54" t="s">
        <v>24</v>
      </c>
      <c r="W54">
        <v>124.25</v>
      </c>
      <c r="X54">
        <v>1</v>
      </c>
      <c r="Y54">
        <v>26</v>
      </c>
      <c r="Z54" t="str">
        <f>_xlfn.IFNA(_xlfn.IFS(Y54&gt;Dash!$E$46, "Big", Y54&lt;Dash!$E$49, "Small", Y54&gt;Dash!$E$47, "Good"), "Norm")</f>
        <v>Small</v>
      </c>
      <c r="AA54">
        <v>40.5</v>
      </c>
      <c r="AB54" t="str">
        <f>_xlfn.IFNA(_xlfn.IFS(AA54&gt;Dash!$F$46, "Big", AA54&lt;Dash!$F$49, "Small", AA54&gt;Dash!$F$47, "Good"), "Norm")</f>
        <v>Small</v>
      </c>
      <c r="AC54">
        <v>351</v>
      </c>
      <c r="AD54" t="str">
        <f>_xlfn.IFNA(_xlfn.IFS(AC54&gt;Dash!$G$46, "Big", AC54&lt;Dash!$G$49, "Small", AC54&gt;Dash!$G$47, "Good"), "Norm")</f>
        <v>Big</v>
      </c>
      <c r="AE54">
        <v>96.75</v>
      </c>
      <c r="AF54" t="str">
        <f>_xlfn.IFNA(_xlfn.IFS(AE54&gt;Dash!$H$46, "Big", AE54&lt;Dash!$H$49, "Small", AE54&gt;Dash!$H$47, "Good"), "Norm")</f>
        <v>Norm</v>
      </c>
      <c r="AG54">
        <v>29.75</v>
      </c>
      <c r="AH54" t="str">
        <f>_xlfn.IFNA(_xlfn.IFS(AG54&gt;Dash!$I$46, "Big", AG54&lt;Dash!$I$49, "Small", AG54&gt;Dash!$I$47, "Good"), "Norm")</f>
        <v>Norm</v>
      </c>
    </row>
    <row r="55" spans="1:34" x14ac:dyDescent="0.25">
      <c r="A55" s="1">
        <v>45245</v>
      </c>
      <c r="B55" t="s">
        <v>18</v>
      </c>
      <c r="C55" t="s">
        <v>33</v>
      </c>
      <c r="D55" t="s">
        <v>43</v>
      </c>
      <c r="E55">
        <v>217</v>
      </c>
      <c r="F55">
        <v>2100</v>
      </c>
      <c r="G55">
        <v>200</v>
      </c>
      <c r="J55" t="s">
        <v>29</v>
      </c>
      <c r="K55" t="s">
        <v>35</v>
      </c>
      <c r="L55" t="s">
        <v>17</v>
      </c>
      <c r="M55" t="s">
        <v>19</v>
      </c>
      <c r="N55">
        <v>9</v>
      </c>
      <c r="P55">
        <v>1400</v>
      </c>
      <c r="Q55">
        <v>1600</v>
      </c>
      <c r="R55" t="s">
        <v>33</v>
      </c>
      <c r="S55" t="s">
        <v>46</v>
      </c>
      <c r="T55">
        <v>110</v>
      </c>
      <c r="U55" t="str">
        <f>_xlfn.IFNA(_xlfn.IFS(E55&gt;Dash!$D$46, "Big", E55&lt;Dash!$D$49, "Small", E55&gt;Dash!$D$47, "Good"), "Norm")</f>
        <v>Norm</v>
      </c>
      <c r="V55" t="s">
        <v>13</v>
      </c>
      <c r="W55">
        <v>366.75</v>
      </c>
      <c r="X55" t="s">
        <v>28</v>
      </c>
      <c r="Y55">
        <v>45</v>
      </c>
      <c r="Z55" t="str">
        <f>_xlfn.IFNA(_xlfn.IFS(Y55&gt;Dash!$E$46, "Big", Y55&lt;Dash!$E$49, "Small", Y55&gt;Dash!$E$47, "Good"), "Norm")</f>
        <v>Norm</v>
      </c>
      <c r="AA55">
        <v>77.5</v>
      </c>
      <c r="AB55" t="str">
        <f>_xlfn.IFNA(_xlfn.IFS(AA55&gt;Dash!$F$46, "Big", AA55&lt;Dash!$F$49, "Small", AA55&gt;Dash!$F$47, "Good"), "Norm")</f>
        <v>Norm</v>
      </c>
      <c r="AC55">
        <v>156.75</v>
      </c>
      <c r="AD55" t="str">
        <f>_xlfn.IFNA(_xlfn.IFS(AC55&gt;Dash!$G$46, "Big", AC55&lt;Dash!$G$49, "Small", AC55&gt;Dash!$G$47, "Good"), "Norm")</f>
        <v>Norm</v>
      </c>
      <c r="AE55">
        <v>96.25</v>
      </c>
      <c r="AF55" t="str">
        <f>_xlfn.IFNA(_xlfn.IFS(AE55&gt;Dash!$H$46, "Big", AE55&lt;Dash!$H$49, "Small", AE55&gt;Dash!$H$47, "Good"), "Norm")</f>
        <v>Norm</v>
      </c>
      <c r="AG55">
        <v>59.75</v>
      </c>
      <c r="AH55" t="str">
        <f>_xlfn.IFNA(_xlfn.IFS(AG55&gt;Dash!$I$46, "Big", AG55&lt;Dash!$I$49, "Small", AG55&gt;Dash!$I$47, "Good"), "Norm")</f>
        <v>Good</v>
      </c>
    </row>
    <row r="56" spans="1:34" x14ac:dyDescent="0.25">
      <c r="A56" s="1">
        <v>45246</v>
      </c>
      <c r="B56" t="s">
        <v>36</v>
      </c>
      <c r="C56" t="s">
        <v>33</v>
      </c>
      <c r="D56" t="s">
        <v>46</v>
      </c>
      <c r="E56">
        <v>110</v>
      </c>
      <c r="F56">
        <v>2100</v>
      </c>
      <c r="G56">
        <v>2200</v>
      </c>
      <c r="J56" t="s">
        <v>37</v>
      </c>
      <c r="K56" t="s">
        <v>25</v>
      </c>
      <c r="L56" t="s">
        <v>32</v>
      </c>
      <c r="M56" t="s">
        <v>19</v>
      </c>
      <c r="N56">
        <v>9</v>
      </c>
      <c r="P56">
        <v>1300</v>
      </c>
      <c r="Q56">
        <v>1500</v>
      </c>
      <c r="R56" t="s">
        <v>33</v>
      </c>
      <c r="S56" t="s">
        <v>43</v>
      </c>
      <c r="T56">
        <v>115</v>
      </c>
      <c r="U56" t="str">
        <f>_xlfn.IFNA(_xlfn.IFS(E56&gt;Dash!$D$46, "Big", E56&lt;Dash!$D$49, "Small", E56&gt;Dash!$D$47, "Good"), "Norm")</f>
        <v>Small</v>
      </c>
      <c r="V56" t="s">
        <v>33</v>
      </c>
      <c r="W56">
        <v>217</v>
      </c>
      <c r="X56" t="s">
        <v>43</v>
      </c>
      <c r="Y56">
        <v>57</v>
      </c>
      <c r="Z56" t="str">
        <f>_xlfn.IFNA(_xlfn.IFS(Y56&gt;Dash!$E$46, "Big", Y56&lt;Dash!$E$49, "Small", Y56&gt;Dash!$E$47, "Good"), "Norm")</f>
        <v>Norm</v>
      </c>
      <c r="AA56">
        <v>45</v>
      </c>
      <c r="AB56" t="str">
        <f>_xlfn.IFNA(_xlfn.IFS(AA56&gt;Dash!$F$46, "Big", AA56&lt;Dash!$F$49, "Small", AA56&gt;Dash!$F$47, "Good"), "Norm")</f>
        <v>Small</v>
      </c>
      <c r="AC56">
        <v>109</v>
      </c>
      <c r="AD56" t="str">
        <f>_xlfn.IFNA(_xlfn.IFS(AC56&gt;Dash!$G$46, "Big", AC56&lt;Dash!$G$49, "Small", AC56&gt;Dash!$G$47, "Good"), "Norm")</f>
        <v>Small</v>
      </c>
      <c r="AE56">
        <v>75</v>
      </c>
      <c r="AF56" t="str">
        <f>_xlfn.IFNA(_xlfn.IFS(AE56&gt;Dash!$H$46, "Big", AE56&lt;Dash!$H$49, "Small", AE56&gt;Dash!$H$47, "Good"), "Norm")</f>
        <v>Small</v>
      </c>
      <c r="AG56">
        <v>19.5</v>
      </c>
      <c r="AH56" t="str">
        <f>_xlfn.IFNA(_xlfn.IFS(AG56&gt;Dash!$I$46, "Big", AG56&lt;Dash!$I$49, "Small", AG56&gt;Dash!$I$47, "Good"), "Norm")</f>
        <v>Small</v>
      </c>
    </row>
    <row r="57" spans="1:34" x14ac:dyDescent="0.25">
      <c r="A57" s="1">
        <v>45247</v>
      </c>
      <c r="B57" t="s">
        <v>26</v>
      </c>
      <c r="C57" t="s">
        <v>33</v>
      </c>
      <c r="D57" t="s">
        <v>43</v>
      </c>
      <c r="E57">
        <v>115</v>
      </c>
      <c r="F57">
        <v>300</v>
      </c>
      <c r="G57">
        <v>300</v>
      </c>
      <c r="J57" t="s">
        <v>30</v>
      </c>
      <c r="K57" t="s">
        <v>25</v>
      </c>
      <c r="L57" t="s">
        <v>32</v>
      </c>
      <c r="M57" t="s">
        <v>19</v>
      </c>
      <c r="N57">
        <v>9</v>
      </c>
      <c r="O57" t="s">
        <v>61</v>
      </c>
      <c r="P57">
        <v>1400</v>
      </c>
      <c r="Q57">
        <v>1500</v>
      </c>
      <c r="R57" t="s">
        <v>13</v>
      </c>
      <c r="S57" t="s">
        <v>28</v>
      </c>
      <c r="T57">
        <v>229.5</v>
      </c>
      <c r="U57" t="str">
        <f>_xlfn.IFNA(_xlfn.IFS(E57&gt;Dash!$D$46, "Big", E57&lt;Dash!$D$49, "Small", E57&gt;Dash!$D$47, "Good"), "Norm")</f>
        <v>Small</v>
      </c>
      <c r="V57" t="s">
        <v>33</v>
      </c>
      <c r="W57">
        <v>110</v>
      </c>
      <c r="X57" t="s">
        <v>46</v>
      </c>
      <c r="Y57">
        <v>25.25</v>
      </c>
      <c r="Z57" t="str">
        <f>_xlfn.IFNA(_xlfn.IFS(Y57&gt;Dash!$E$46, "Big", Y57&lt;Dash!$E$49, "Small", Y57&gt;Dash!$E$47, "Good"), "Norm")</f>
        <v>Small</v>
      </c>
      <c r="AA57">
        <v>43.5</v>
      </c>
      <c r="AB57" t="str">
        <f>_xlfn.IFNA(_xlfn.IFS(AA57&gt;Dash!$F$46, "Big", AA57&lt;Dash!$F$49, "Small", AA57&gt;Dash!$F$47, "Good"), "Norm")</f>
        <v>Small</v>
      </c>
      <c r="AC57">
        <v>94.75</v>
      </c>
      <c r="AD57" t="str">
        <f>_xlfn.IFNA(_xlfn.IFS(AC57&gt;Dash!$G$46, "Big", AC57&lt;Dash!$G$49, "Small", AC57&gt;Dash!$G$47, "Good"), "Norm")</f>
        <v>Small</v>
      </c>
      <c r="AE57">
        <v>76.5</v>
      </c>
      <c r="AF57" t="str">
        <f>_xlfn.IFNA(_xlfn.IFS(AE57&gt;Dash!$H$46, "Big", AE57&lt;Dash!$H$49, "Small", AE57&gt;Dash!$H$47, "Good"), "Norm")</f>
        <v>Small</v>
      </c>
      <c r="AG57">
        <v>26.25</v>
      </c>
      <c r="AH57" t="str">
        <f>_xlfn.IFNA(_xlfn.IFS(AG57&gt;Dash!$I$46, "Big", AG57&lt;Dash!$I$49, "Small", AG57&gt;Dash!$I$47, "Good"), "Norm")</f>
        <v>Norm</v>
      </c>
    </row>
    <row r="58" spans="1:34" x14ac:dyDescent="0.25">
      <c r="A58" s="1">
        <v>45250</v>
      </c>
      <c r="B58" t="s">
        <v>23</v>
      </c>
      <c r="C58" t="s">
        <v>13</v>
      </c>
      <c r="D58" t="s">
        <v>28</v>
      </c>
      <c r="E58">
        <v>229.5</v>
      </c>
      <c r="F58">
        <v>900</v>
      </c>
      <c r="J58" t="s">
        <v>27</v>
      </c>
      <c r="K58" t="s">
        <v>31</v>
      </c>
      <c r="L58" t="s">
        <v>32</v>
      </c>
      <c r="M58" t="s">
        <v>19</v>
      </c>
      <c r="N58">
        <v>5</v>
      </c>
      <c r="P58">
        <v>800</v>
      </c>
      <c r="Q58">
        <v>1500</v>
      </c>
      <c r="R58">
        <v>0</v>
      </c>
      <c r="S58" t="s">
        <v>14</v>
      </c>
      <c r="T58">
        <v>126.5</v>
      </c>
      <c r="U58" t="str">
        <f>_xlfn.IFNA(_xlfn.IFS(E58&gt;Dash!$D$46, "Big", E58&lt;Dash!$D$49, "Small", E58&gt;Dash!$D$47, "Good"), "Norm")</f>
        <v>Norm</v>
      </c>
      <c r="V58" t="s">
        <v>33</v>
      </c>
      <c r="W58">
        <v>115</v>
      </c>
      <c r="X58" t="s">
        <v>43</v>
      </c>
      <c r="Y58">
        <v>66.5</v>
      </c>
      <c r="Z58" t="str">
        <f>_xlfn.IFNA(_xlfn.IFS(Y58&gt;Dash!$E$46, "Big", Y58&lt;Dash!$E$49, "Small", Y58&gt;Dash!$E$47, "Good"), "Norm")</f>
        <v>Norm</v>
      </c>
      <c r="AA58">
        <v>87.5</v>
      </c>
      <c r="AB58" t="str">
        <f>_xlfn.IFNA(_xlfn.IFS(AA58&gt;Dash!$F$46, "Big", AA58&lt;Dash!$F$49, "Small", AA58&gt;Dash!$F$47, "Good"), "Norm")</f>
        <v>Norm</v>
      </c>
      <c r="AC58">
        <v>134</v>
      </c>
      <c r="AD58" t="str">
        <f>_xlfn.IFNA(_xlfn.IFS(AC58&gt;Dash!$G$46, "Big", AC58&lt;Dash!$G$49, "Small", AC58&gt;Dash!$G$47, "Good"), "Norm")</f>
        <v>Norm</v>
      </c>
      <c r="AE58">
        <v>113.25</v>
      </c>
      <c r="AF58" t="str">
        <f>_xlfn.IFNA(_xlfn.IFS(AE58&gt;Dash!$H$46, "Big", AE58&lt;Dash!$H$49, "Small", AE58&gt;Dash!$H$47, "Good"), "Norm")</f>
        <v>Norm</v>
      </c>
      <c r="AG58">
        <v>10.75</v>
      </c>
      <c r="AH58" t="str">
        <f>_xlfn.IFNA(_xlfn.IFS(AG58&gt;Dash!$I$46, "Big", AG58&lt;Dash!$I$49, "Small", AG58&gt;Dash!$I$47, "Good"), "Norm")</f>
        <v>Small</v>
      </c>
    </row>
    <row r="59" spans="1:34" x14ac:dyDescent="0.25">
      <c r="A59" s="1">
        <v>45251</v>
      </c>
      <c r="B59" t="s">
        <v>19</v>
      </c>
      <c r="D59" t="s">
        <v>14</v>
      </c>
      <c r="E59">
        <v>126.5</v>
      </c>
      <c r="F59">
        <v>2200</v>
      </c>
      <c r="J59" t="s">
        <v>29</v>
      </c>
      <c r="K59" t="s">
        <v>16</v>
      </c>
      <c r="L59" t="s">
        <v>42</v>
      </c>
      <c r="M59" t="s">
        <v>19</v>
      </c>
      <c r="N59">
        <v>5</v>
      </c>
      <c r="O59" t="s">
        <v>66</v>
      </c>
      <c r="P59">
        <v>1300</v>
      </c>
      <c r="Q59">
        <v>1600</v>
      </c>
      <c r="R59" t="s">
        <v>41</v>
      </c>
      <c r="S59" t="s">
        <v>28</v>
      </c>
      <c r="T59">
        <v>168</v>
      </c>
      <c r="U59" t="str">
        <f>_xlfn.IFNA(_xlfn.IFS(E59&gt;Dash!$D$46, "Big", E59&lt;Dash!$D$49, "Small", E59&gt;Dash!$D$47, "Good"), "Norm")</f>
        <v>Small</v>
      </c>
      <c r="V59" t="s">
        <v>13</v>
      </c>
      <c r="W59">
        <v>229.5</v>
      </c>
      <c r="X59" t="s">
        <v>28</v>
      </c>
      <c r="Y59">
        <v>39.5</v>
      </c>
      <c r="Z59" t="str">
        <f>_xlfn.IFNA(_xlfn.IFS(Y59&gt;Dash!$E$46, "Big", Y59&lt;Dash!$E$49, "Small", Y59&gt;Dash!$E$47, "Good"), "Norm")</f>
        <v>Small</v>
      </c>
      <c r="AA59">
        <v>65.75</v>
      </c>
      <c r="AB59" t="str">
        <f>_xlfn.IFNA(_xlfn.IFS(AA59&gt;Dash!$F$46, "Big", AA59&lt;Dash!$F$49, "Small", AA59&gt;Dash!$F$47, "Good"), "Norm")</f>
        <v>Norm</v>
      </c>
      <c r="AC59">
        <v>126.5</v>
      </c>
      <c r="AD59" t="str">
        <f>_xlfn.IFNA(_xlfn.IFS(AC59&gt;Dash!$G$46, "Big", AC59&lt;Dash!$G$49, "Small", AC59&gt;Dash!$G$47, "Good"), "Norm")</f>
        <v>Norm</v>
      </c>
      <c r="AE59">
        <v>59.25</v>
      </c>
      <c r="AF59" t="str">
        <f>_xlfn.IFNA(_xlfn.IFS(AE59&gt;Dash!$H$46, "Big", AE59&lt;Dash!$H$49, "Small", AE59&gt;Dash!$H$47, "Good"), "Norm")</f>
        <v>Small</v>
      </c>
      <c r="AG59">
        <v>113</v>
      </c>
      <c r="AH59" t="str">
        <f>_xlfn.IFNA(_xlfn.IFS(AG59&gt;Dash!$I$46, "Big", AG59&lt;Dash!$I$49, "Small", AG59&gt;Dash!$I$47, "Good"), "Norm")</f>
        <v>Big</v>
      </c>
    </row>
    <row r="60" spans="1:34" x14ac:dyDescent="0.25">
      <c r="A60" s="1">
        <v>45252</v>
      </c>
      <c r="B60" t="s">
        <v>18</v>
      </c>
      <c r="C60" t="s">
        <v>41</v>
      </c>
      <c r="D60" t="s">
        <v>28</v>
      </c>
      <c r="E60">
        <v>168</v>
      </c>
      <c r="F60">
        <v>900</v>
      </c>
      <c r="G60">
        <v>900</v>
      </c>
      <c r="J60" t="s">
        <v>27</v>
      </c>
      <c r="K60" t="s">
        <v>39</v>
      </c>
      <c r="L60" t="s">
        <v>35</v>
      </c>
      <c r="M60" t="s">
        <v>19</v>
      </c>
      <c r="N60">
        <v>5</v>
      </c>
      <c r="P60">
        <v>1300</v>
      </c>
      <c r="Q60">
        <v>1400</v>
      </c>
      <c r="R60" t="s">
        <v>24</v>
      </c>
      <c r="S60">
        <v>1</v>
      </c>
      <c r="T60">
        <v>87.5</v>
      </c>
      <c r="U60" t="str">
        <f>_xlfn.IFNA(_xlfn.IFS(E60&gt;Dash!$D$46, "Big", E60&lt;Dash!$D$49, "Small", E60&gt;Dash!$D$47, "Good"), "Norm")</f>
        <v>Norm</v>
      </c>
      <c r="V60">
        <v>0</v>
      </c>
      <c r="W60">
        <v>126.5</v>
      </c>
      <c r="X60" t="s">
        <v>14</v>
      </c>
      <c r="Y60">
        <v>41.25</v>
      </c>
      <c r="Z60" t="str">
        <f>_xlfn.IFNA(_xlfn.IFS(Y60&gt;Dash!$E$46, "Big", Y60&lt;Dash!$E$49, "Small", Y60&gt;Dash!$E$47, "Good"), "Norm")</f>
        <v>Small</v>
      </c>
      <c r="AA60">
        <v>118.25</v>
      </c>
      <c r="AB60" t="str">
        <f>_xlfn.IFNA(_xlfn.IFS(AA60&gt;Dash!$F$46, "Big", AA60&lt;Dash!$F$49, "Small", AA60&gt;Dash!$F$47, "Good"), "Norm")</f>
        <v>Good</v>
      </c>
      <c r="AC60">
        <v>168</v>
      </c>
      <c r="AD60" t="str">
        <f>_xlfn.IFNA(_xlfn.IFS(AC60&gt;Dash!$G$46, "Big", AC60&lt;Dash!$G$49, "Small", AC60&gt;Dash!$G$47, "Good"), "Norm")</f>
        <v>Norm</v>
      </c>
      <c r="AE60">
        <v>92.25</v>
      </c>
      <c r="AF60" t="str">
        <f>_xlfn.IFNA(_xlfn.IFS(AE60&gt;Dash!$H$46, "Big", AE60&lt;Dash!$H$49, "Small", AE60&gt;Dash!$H$47, "Good"), "Norm")</f>
        <v>Small</v>
      </c>
      <c r="AG60">
        <v>14</v>
      </c>
      <c r="AH60" t="str">
        <f>_xlfn.IFNA(_xlfn.IFS(AG60&gt;Dash!$I$46, "Big", AG60&lt;Dash!$I$49, "Small", AG60&gt;Dash!$I$47, "Good"), "Norm")</f>
        <v>Small</v>
      </c>
    </row>
    <row r="61" spans="1:34" x14ac:dyDescent="0.25">
      <c r="A61" s="1">
        <v>45254</v>
      </c>
      <c r="B61" t="s">
        <v>26</v>
      </c>
      <c r="C61" t="s">
        <v>24</v>
      </c>
      <c r="D61">
        <v>1</v>
      </c>
      <c r="E61">
        <v>87.5</v>
      </c>
      <c r="J61" t="s">
        <v>34</v>
      </c>
      <c r="K61" t="s">
        <v>16</v>
      </c>
      <c r="L61" t="s">
        <v>25</v>
      </c>
      <c r="M61" t="s">
        <v>19</v>
      </c>
      <c r="N61">
        <v>5</v>
      </c>
      <c r="P61">
        <v>1000</v>
      </c>
      <c r="Q61">
        <v>1300</v>
      </c>
      <c r="R61" t="s">
        <v>13</v>
      </c>
      <c r="S61" t="s">
        <v>52</v>
      </c>
      <c r="T61">
        <v>119</v>
      </c>
      <c r="U61" t="str">
        <f>_xlfn.IFNA(_xlfn.IFS(E61&gt;Dash!$D$46, "Big", E61&lt;Dash!$D$49, "Small", E61&gt;Dash!$D$47, "Good"), "Norm")</f>
        <v>Small</v>
      </c>
      <c r="V61" t="s">
        <v>41</v>
      </c>
      <c r="W61">
        <v>168</v>
      </c>
      <c r="X61" t="s">
        <v>28</v>
      </c>
      <c r="Y61">
        <v>32.75</v>
      </c>
      <c r="Z61" t="str">
        <f>_xlfn.IFNA(_xlfn.IFS(Y61&gt;Dash!$E$46, "Big", Y61&lt;Dash!$E$49, "Small", Y61&gt;Dash!$E$47, "Good"), "Norm")</f>
        <v>Small</v>
      </c>
      <c r="AA61">
        <v>47</v>
      </c>
      <c r="AB61" t="str">
        <f>_xlfn.IFNA(_xlfn.IFS(AA61&gt;Dash!$F$46, "Big", AA61&lt;Dash!$F$49, "Small", AA61&gt;Dash!$F$47, "Good"), "Norm")</f>
        <v>Small</v>
      </c>
      <c r="AC61">
        <v>71.75</v>
      </c>
      <c r="AD61" t="str">
        <f>_xlfn.IFNA(_xlfn.IFS(AC61&gt;Dash!$G$46, "Big", AC61&lt;Dash!$G$49, "Small", AC61&gt;Dash!$G$47, "Good"), "Norm")</f>
        <v>Small</v>
      </c>
      <c r="AE61">
        <v>59.25</v>
      </c>
      <c r="AF61" t="str">
        <f>_xlfn.IFNA(_xlfn.IFS(AE61&gt;Dash!$H$46, "Big", AE61&lt;Dash!$H$49, "Small", AE61&gt;Dash!$H$47, "Good"), "Norm")</f>
        <v>Small</v>
      </c>
      <c r="AG61" t="s">
        <v>180</v>
      </c>
      <c r="AH61" t="str">
        <f>_xlfn.IFNA(_xlfn.IFS(AG61&gt;Dash!$I$46, "Big", AG61&lt;Dash!$I$49, "Small", AG61&gt;Dash!$I$47, "Good"), "Norm")</f>
        <v>Big</v>
      </c>
    </row>
    <row r="62" spans="1:34" x14ac:dyDescent="0.25">
      <c r="A62" s="1">
        <v>45257</v>
      </c>
      <c r="B62" t="s">
        <v>23</v>
      </c>
      <c r="C62" t="s">
        <v>13</v>
      </c>
      <c r="D62" t="s">
        <v>52</v>
      </c>
      <c r="E62">
        <v>119</v>
      </c>
      <c r="F62">
        <v>1900</v>
      </c>
      <c r="G62">
        <v>200</v>
      </c>
      <c r="H62">
        <v>1300</v>
      </c>
      <c r="J62" t="s">
        <v>37</v>
      </c>
      <c r="K62" t="s">
        <v>31</v>
      </c>
      <c r="L62" t="s">
        <v>32</v>
      </c>
      <c r="M62" t="s">
        <v>19</v>
      </c>
      <c r="N62">
        <v>8</v>
      </c>
      <c r="P62">
        <v>1300</v>
      </c>
      <c r="Q62">
        <v>1400</v>
      </c>
      <c r="R62" t="s">
        <v>33</v>
      </c>
      <c r="S62">
        <v>1</v>
      </c>
      <c r="T62">
        <v>126</v>
      </c>
      <c r="U62" t="str">
        <f>_xlfn.IFNA(_xlfn.IFS(E62&gt;Dash!$D$46, "Big", E62&lt;Dash!$D$49, "Small", E62&gt;Dash!$D$47, "Good"), "Norm")</f>
        <v>Small</v>
      </c>
      <c r="V62" t="s">
        <v>24</v>
      </c>
      <c r="W62">
        <v>87.5</v>
      </c>
      <c r="X62">
        <v>1</v>
      </c>
      <c r="Y62">
        <v>70.25</v>
      </c>
      <c r="Z62" t="str">
        <f>_xlfn.IFNA(_xlfn.IFS(Y62&gt;Dash!$E$46, "Big", Y62&lt;Dash!$E$49, "Small", Y62&gt;Dash!$E$47, "Good"), "Norm")</f>
        <v>Norm</v>
      </c>
      <c r="AA62">
        <v>62.5</v>
      </c>
      <c r="AB62" t="str">
        <f>_xlfn.IFNA(_xlfn.IFS(AA62&gt;Dash!$F$46, "Big", AA62&lt;Dash!$F$49, "Small", AA62&gt;Dash!$F$47, "Good"), "Norm")</f>
        <v>Norm</v>
      </c>
      <c r="AC62">
        <v>95.75</v>
      </c>
      <c r="AD62" t="str">
        <f>_xlfn.IFNA(_xlfn.IFS(AC62&gt;Dash!$G$46, "Big", AC62&lt;Dash!$G$49, "Small", AC62&gt;Dash!$G$47, "Good"), "Norm")</f>
        <v>Small</v>
      </c>
      <c r="AE62">
        <v>91.5</v>
      </c>
      <c r="AF62" t="str">
        <f>_xlfn.IFNA(_xlfn.IFS(AE62&gt;Dash!$H$46, "Big", AE62&lt;Dash!$H$49, "Small", AE62&gt;Dash!$H$47, "Good"), "Norm")</f>
        <v>Small</v>
      </c>
      <c r="AG62">
        <v>7.5</v>
      </c>
      <c r="AH62" t="str">
        <f>_xlfn.IFNA(_xlfn.IFS(AG62&gt;Dash!$I$46, "Big", AG62&lt;Dash!$I$49, "Small", AG62&gt;Dash!$I$47, "Good"), "Norm")</f>
        <v>Small</v>
      </c>
    </row>
    <row r="63" spans="1:34" x14ac:dyDescent="0.25">
      <c r="A63" s="1">
        <v>45258</v>
      </c>
      <c r="B63" t="s">
        <v>19</v>
      </c>
      <c r="C63" t="s">
        <v>33</v>
      </c>
      <c r="D63">
        <v>1</v>
      </c>
      <c r="E63">
        <v>126</v>
      </c>
      <c r="J63" t="s">
        <v>34</v>
      </c>
      <c r="K63" t="s">
        <v>25</v>
      </c>
      <c r="L63" t="s">
        <v>35</v>
      </c>
      <c r="M63" t="s">
        <v>19</v>
      </c>
      <c r="N63">
        <v>8</v>
      </c>
      <c r="P63">
        <v>1300</v>
      </c>
      <c r="Q63">
        <v>1600</v>
      </c>
      <c r="R63" t="s">
        <v>33</v>
      </c>
      <c r="S63" t="s">
        <v>43</v>
      </c>
      <c r="T63">
        <v>195</v>
      </c>
      <c r="U63" t="str">
        <f>_xlfn.IFNA(_xlfn.IFS(E63&gt;Dash!$D$46, "Big", E63&lt;Dash!$D$49, "Small", E63&gt;Dash!$D$47, "Good"), "Norm")</f>
        <v>Small</v>
      </c>
      <c r="V63" t="s">
        <v>13</v>
      </c>
      <c r="W63">
        <v>119</v>
      </c>
      <c r="X63" t="s">
        <v>52</v>
      </c>
      <c r="Y63">
        <v>27.5</v>
      </c>
      <c r="Z63" t="str">
        <f>_xlfn.IFNA(_xlfn.IFS(Y63&gt;Dash!$E$46, "Big", Y63&lt;Dash!$E$49, "Small", Y63&gt;Dash!$E$47, "Good"), "Norm")</f>
        <v>Small</v>
      </c>
      <c r="AA63">
        <v>61</v>
      </c>
      <c r="AB63" t="str">
        <f>_xlfn.IFNA(_xlfn.IFS(AA63&gt;Dash!$F$46, "Big", AA63&lt;Dash!$F$49, "Small", AA63&gt;Dash!$F$47, "Good"), "Norm")</f>
        <v>Norm</v>
      </c>
      <c r="AC63">
        <v>126.25</v>
      </c>
      <c r="AD63" t="str">
        <f>_xlfn.IFNA(_xlfn.IFS(AC63&gt;Dash!$G$46, "Big", AC63&lt;Dash!$G$49, "Small", AC63&gt;Dash!$G$47, "Good"), "Norm")</f>
        <v>Norm</v>
      </c>
      <c r="AE63">
        <v>91</v>
      </c>
      <c r="AF63" t="str">
        <f>_xlfn.IFNA(_xlfn.IFS(AE63&gt;Dash!$H$46, "Big", AE63&lt;Dash!$H$49, "Small", AE63&gt;Dash!$H$47, "Good"), "Norm")</f>
        <v>Small</v>
      </c>
      <c r="AG63">
        <v>13.75</v>
      </c>
      <c r="AH63" t="str">
        <f>_xlfn.IFNA(_xlfn.IFS(AG63&gt;Dash!$I$46, "Big", AG63&lt;Dash!$I$49, "Small", AG63&gt;Dash!$I$47, "Good"), "Norm")</f>
        <v>Small</v>
      </c>
    </row>
    <row r="64" spans="1:34" x14ac:dyDescent="0.25">
      <c r="A64" s="1">
        <v>45259</v>
      </c>
      <c r="B64" t="s">
        <v>18</v>
      </c>
      <c r="C64" t="s">
        <v>33</v>
      </c>
      <c r="D64" t="s">
        <v>43</v>
      </c>
      <c r="E64">
        <v>195</v>
      </c>
      <c r="F64">
        <v>2000</v>
      </c>
      <c r="G64">
        <v>100</v>
      </c>
      <c r="J64" t="s">
        <v>29</v>
      </c>
      <c r="K64" t="s">
        <v>35</v>
      </c>
      <c r="L64" t="s">
        <v>17</v>
      </c>
      <c r="M64" t="s">
        <v>19</v>
      </c>
      <c r="N64">
        <v>8</v>
      </c>
      <c r="P64">
        <v>1300</v>
      </c>
      <c r="Q64">
        <v>1500</v>
      </c>
      <c r="R64" t="s">
        <v>33</v>
      </c>
      <c r="S64" t="s">
        <v>14</v>
      </c>
      <c r="T64">
        <v>242.5</v>
      </c>
      <c r="U64" t="str">
        <f>_xlfn.IFNA(_xlfn.IFS(E64&gt;Dash!$D$46, "Big", E64&lt;Dash!$D$49, "Small", E64&gt;Dash!$D$47, "Good"), "Norm")</f>
        <v>Norm</v>
      </c>
      <c r="V64" t="s">
        <v>33</v>
      </c>
      <c r="W64">
        <v>126</v>
      </c>
      <c r="X64">
        <v>1</v>
      </c>
      <c r="Y64">
        <v>46</v>
      </c>
      <c r="Z64" t="str">
        <f>_xlfn.IFNA(_xlfn.IFS(Y64&gt;Dash!$E$46, "Big", Y64&lt;Dash!$E$49, "Small", Y64&gt;Dash!$E$47, "Good"), "Norm")</f>
        <v>Norm</v>
      </c>
      <c r="AA64">
        <v>89</v>
      </c>
      <c r="AB64" t="str">
        <f>_xlfn.IFNA(_xlfn.IFS(AA64&gt;Dash!$F$46, "Big", AA64&lt;Dash!$F$49, "Small", AA64&gt;Dash!$F$47, "Good"), "Norm")</f>
        <v>Norm</v>
      </c>
      <c r="AC64">
        <v>176.75</v>
      </c>
      <c r="AD64" t="str">
        <f>_xlfn.IFNA(_xlfn.IFS(AC64&gt;Dash!$G$46, "Big", AC64&lt;Dash!$G$49, "Small", AC64&gt;Dash!$G$47, "Good"), "Norm")</f>
        <v>Norm</v>
      </c>
      <c r="AE64">
        <v>86.25</v>
      </c>
      <c r="AF64" t="str">
        <f>_xlfn.IFNA(_xlfn.IFS(AE64&gt;Dash!$H$46, "Big", AE64&lt;Dash!$H$49, "Small", AE64&gt;Dash!$H$47, "Good"), "Norm")</f>
        <v>Small</v>
      </c>
      <c r="AG64">
        <v>29.75</v>
      </c>
      <c r="AH64" t="str">
        <f>_xlfn.IFNA(_xlfn.IFS(AG64&gt;Dash!$I$46, "Big", AG64&lt;Dash!$I$49, "Small", AG64&gt;Dash!$I$47, "Good"), "Norm")</f>
        <v>Norm</v>
      </c>
    </row>
    <row r="65" spans="1:34" x14ac:dyDescent="0.25">
      <c r="A65" s="1">
        <v>45260</v>
      </c>
      <c r="B65" t="s">
        <v>36</v>
      </c>
      <c r="C65" t="s">
        <v>33</v>
      </c>
      <c r="D65" t="s">
        <v>14</v>
      </c>
      <c r="E65">
        <v>242.5</v>
      </c>
      <c r="F65">
        <v>900</v>
      </c>
      <c r="J65" t="s">
        <v>45</v>
      </c>
      <c r="K65" t="s">
        <v>35</v>
      </c>
      <c r="L65" t="s">
        <v>17</v>
      </c>
      <c r="M65" t="s">
        <v>19</v>
      </c>
      <c r="N65">
        <v>8</v>
      </c>
      <c r="P65">
        <v>1500</v>
      </c>
      <c r="Q65">
        <v>1500</v>
      </c>
      <c r="R65" t="s">
        <v>33</v>
      </c>
      <c r="S65">
        <v>1</v>
      </c>
      <c r="T65">
        <v>186</v>
      </c>
      <c r="U65" t="str">
        <f>_xlfn.IFNA(_xlfn.IFS(E65&gt;Dash!$D$46, "Big", E65&lt;Dash!$D$49, "Small", E65&gt;Dash!$D$47, "Good"), "Norm")</f>
        <v>Norm</v>
      </c>
      <c r="V65" t="s">
        <v>33</v>
      </c>
      <c r="W65">
        <v>195</v>
      </c>
      <c r="X65" t="s">
        <v>43</v>
      </c>
      <c r="Y65">
        <v>33.5</v>
      </c>
      <c r="Z65" t="str">
        <f>_xlfn.IFNA(_xlfn.IFS(Y65&gt;Dash!$E$46, "Big", Y65&lt;Dash!$E$49, "Small", Y65&gt;Dash!$E$47, "Good"), "Norm")</f>
        <v>Small</v>
      </c>
      <c r="AA65">
        <v>47.5</v>
      </c>
      <c r="AB65" t="str">
        <f>_xlfn.IFNA(_xlfn.IFS(AA65&gt;Dash!$F$46, "Big", AA65&lt;Dash!$F$49, "Small", AA65&gt;Dash!$F$47, "Good"), "Norm")</f>
        <v>Small</v>
      </c>
      <c r="AC65">
        <v>233</v>
      </c>
      <c r="AD65" t="str">
        <f>_xlfn.IFNA(_xlfn.IFS(AC65&gt;Dash!$G$46, "Big", AC65&lt;Dash!$G$49, "Small", AC65&gt;Dash!$G$47, "Good"), "Norm")</f>
        <v>Good</v>
      </c>
      <c r="AE65">
        <v>135.25</v>
      </c>
      <c r="AF65" t="str">
        <f>_xlfn.IFNA(_xlfn.IFS(AE65&gt;Dash!$H$46, "Big", AE65&lt;Dash!$H$49, "Small", AE65&gt;Dash!$H$47, "Good"), "Norm")</f>
        <v>Norm</v>
      </c>
      <c r="AG65">
        <v>29</v>
      </c>
      <c r="AH65" t="str">
        <f>_xlfn.IFNA(_xlfn.IFS(AG65&gt;Dash!$I$46, "Big", AG65&lt;Dash!$I$49, "Small", AG65&gt;Dash!$I$47, "Good"), "Norm")</f>
        <v>Norm</v>
      </c>
    </row>
    <row r="66" spans="1:34" x14ac:dyDescent="0.25">
      <c r="A66" s="1">
        <v>45261</v>
      </c>
      <c r="B66" t="s">
        <v>26</v>
      </c>
      <c r="C66" t="s">
        <v>33</v>
      </c>
      <c r="D66">
        <v>1</v>
      </c>
      <c r="E66">
        <v>186</v>
      </c>
      <c r="J66" t="s">
        <v>34</v>
      </c>
      <c r="K66" t="s">
        <v>25</v>
      </c>
      <c r="L66" t="s">
        <v>32</v>
      </c>
      <c r="M66" t="s">
        <v>19</v>
      </c>
      <c r="N66">
        <v>8</v>
      </c>
      <c r="P66">
        <v>1000</v>
      </c>
      <c r="Q66">
        <v>1200</v>
      </c>
      <c r="R66" t="s">
        <v>33</v>
      </c>
      <c r="S66" t="s">
        <v>14</v>
      </c>
      <c r="T66">
        <v>246.75</v>
      </c>
      <c r="U66" t="str">
        <f>_xlfn.IFNA(_xlfn.IFS(E66&gt;Dash!$D$46, "Big", E66&lt;Dash!$D$49, "Small", E66&gt;Dash!$D$47, "Good"), "Norm")</f>
        <v>Norm</v>
      </c>
      <c r="V66" t="s">
        <v>33</v>
      </c>
      <c r="W66">
        <v>242.5</v>
      </c>
      <c r="X66" t="s">
        <v>14</v>
      </c>
      <c r="Y66">
        <v>24.25</v>
      </c>
      <c r="Z66" t="str">
        <f>_xlfn.IFNA(_xlfn.IFS(Y66&gt;Dash!$E$46, "Big", Y66&lt;Dash!$E$49, "Small", Y66&gt;Dash!$E$47, "Good"), "Norm")</f>
        <v>Small</v>
      </c>
      <c r="AA66">
        <v>81.5</v>
      </c>
      <c r="AB66" t="str">
        <f>_xlfn.IFNA(_xlfn.IFS(AA66&gt;Dash!$F$46, "Big", AA66&lt;Dash!$F$49, "Small", AA66&gt;Dash!$F$47, "Good"), "Norm")</f>
        <v>Norm</v>
      </c>
      <c r="AC66">
        <v>153.75</v>
      </c>
      <c r="AD66" t="str">
        <f>_xlfn.IFNA(_xlfn.IFS(AC66&gt;Dash!$G$46, "Big", AC66&lt;Dash!$G$49, "Small", AC66&gt;Dash!$G$47, "Good"), "Norm")</f>
        <v>Norm</v>
      </c>
      <c r="AE66">
        <v>71.25</v>
      </c>
      <c r="AF66" t="str">
        <f>_xlfn.IFNA(_xlfn.IFS(AE66&gt;Dash!$H$46, "Big", AE66&lt;Dash!$H$49, "Small", AE66&gt;Dash!$H$47, "Good"), "Norm")</f>
        <v>Small</v>
      </c>
      <c r="AG66">
        <v>26.75</v>
      </c>
      <c r="AH66" t="str">
        <f>_xlfn.IFNA(_xlfn.IFS(AG66&gt;Dash!$I$46, "Big", AG66&lt;Dash!$I$49, "Small", AG66&gt;Dash!$I$47, "Good"), "Norm")</f>
        <v>Norm</v>
      </c>
    </row>
    <row r="67" spans="1:34" x14ac:dyDescent="0.25">
      <c r="A67" s="1">
        <v>45264</v>
      </c>
      <c r="B67" t="s">
        <v>23</v>
      </c>
      <c r="C67" t="s">
        <v>33</v>
      </c>
      <c r="D67" t="s">
        <v>14</v>
      </c>
      <c r="E67">
        <v>246.75</v>
      </c>
      <c r="F67">
        <v>900</v>
      </c>
      <c r="G67">
        <v>1500</v>
      </c>
      <c r="J67" t="s">
        <v>45</v>
      </c>
      <c r="K67" t="s">
        <v>32</v>
      </c>
      <c r="L67" t="s">
        <v>25</v>
      </c>
      <c r="M67" t="s">
        <v>19</v>
      </c>
      <c r="N67">
        <v>8</v>
      </c>
      <c r="P67">
        <v>1400</v>
      </c>
      <c r="Q67">
        <v>1500</v>
      </c>
      <c r="R67" t="s">
        <v>41</v>
      </c>
      <c r="S67">
        <v>1</v>
      </c>
      <c r="T67">
        <v>192</v>
      </c>
      <c r="U67" t="str">
        <f>_xlfn.IFNA(_xlfn.IFS(E67&gt;Dash!$D$46, "Big", E67&lt;Dash!$D$49, "Small", E67&gt;Dash!$D$47, "Good"), "Norm")</f>
        <v>Norm</v>
      </c>
      <c r="V67" t="s">
        <v>33</v>
      </c>
      <c r="W67">
        <v>186</v>
      </c>
      <c r="X67">
        <v>1</v>
      </c>
      <c r="Y67">
        <v>64.75</v>
      </c>
      <c r="Z67" t="str">
        <f>_xlfn.IFNA(_xlfn.IFS(Y67&gt;Dash!$E$46, "Big", Y67&lt;Dash!$E$49, "Small", Y67&gt;Dash!$E$47, "Good"), "Norm")</f>
        <v>Norm</v>
      </c>
      <c r="AA67">
        <v>74</v>
      </c>
      <c r="AB67" t="str">
        <f>_xlfn.IFNA(_xlfn.IFS(AA67&gt;Dash!$F$46, "Big", AA67&lt;Dash!$F$49, "Small", AA67&gt;Dash!$F$47, "Good"), "Norm")</f>
        <v>Norm</v>
      </c>
      <c r="AC67">
        <v>246.75</v>
      </c>
      <c r="AD67" t="str">
        <f>_xlfn.IFNA(_xlfn.IFS(AC67&gt;Dash!$G$46, "Big", AC67&lt;Dash!$G$49, "Small", AC67&gt;Dash!$G$47, "Good"), "Norm")</f>
        <v>Good</v>
      </c>
      <c r="AE67">
        <v>89.75</v>
      </c>
      <c r="AF67" t="str">
        <f>_xlfn.IFNA(_xlfn.IFS(AE67&gt;Dash!$H$46, "Big", AE67&lt;Dash!$H$49, "Small", AE67&gt;Dash!$H$47, "Good"), "Norm")</f>
        <v>Small</v>
      </c>
      <c r="AG67">
        <v>21.25</v>
      </c>
      <c r="AH67" t="str">
        <f>_xlfn.IFNA(_xlfn.IFS(AG67&gt;Dash!$I$46, "Big", AG67&lt;Dash!$I$49, "Small", AG67&gt;Dash!$I$47, "Good"), "Norm")</f>
        <v>Small</v>
      </c>
    </row>
    <row r="68" spans="1:34" x14ac:dyDescent="0.25">
      <c r="A68" s="1">
        <v>45265</v>
      </c>
      <c r="B68" t="s">
        <v>19</v>
      </c>
      <c r="C68" t="s">
        <v>41</v>
      </c>
      <c r="D68">
        <v>1</v>
      </c>
      <c r="E68">
        <v>192</v>
      </c>
      <c r="J68" t="s">
        <v>34</v>
      </c>
      <c r="K68" t="s">
        <v>39</v>
      </c>
      <c r="L68" t="s">
        <v>35</v>
      </c>
      <c r="M68" t="s">
        <v>19</v>
      </c>
      <c r="N68">
        <v>8</v>
      </c>
      <c r="P68">
        <v>1100</v>
      </c>
      <c r="Q68">
        <v>1200</v>
      </c>
      <c r="R68" t="s">
        <v>33</v>
      </c>
      <c r="S68" t="s">
        <v>43</v>
      </c>
      <c r="T68">
        <v>235.75</v>
      </c>
      <c r="U68" t="str">
        <f>_xlfn.IFNA(_xlfn.IFS(E68&gt;Dash!$D$46, "Big", E68&lt;Dash!$D$49, "Small", E68&gt;Dash!$D$47, "Good"), "Norm")</f>
        <v>Norm</v>
      </c>
      <c r="V68" t="s">
        <v>33</v>
      </c>
      <c r="W68">
        <v>246.75</v>
      </c>
      <c r="X68" t="s">
        <v>14</v>
      </c>
      <c r="Y68">
        <v>71</v>
      </c>
      <c r="Z68" t="str">
        <f>_xlfn.IFNA(_xlfn.IFS(Y68&gt;Dash!$E$46, "Big", Y68&lt;Dash!$E$49, "Small", Y68&gt;Dash!$E$47, "Good"), "Norm")</f>
        <v>Norm</v>
      </c>
      <c r="AA68">
        <v>53.5</v>
      </c>
      <c r="AB68" t="str">
        <f>_xlfn.IFNA(_xlfn.IFS(AA68&gt;Dash!$F$46, "Big", AA68&lt;Dash!$F$49, "Small", AA68&gt;Dash!$F$47, "Good"), "Norm")</f>
        <v>Small</v>
      </c>
      <c r="AC68">
        <v>192</v>
      </c>
      <c r="AD68" t="str">
        <f>_xlfn.IFNA(_xlfn.IFS(AC68&gt;Dash!$G$46, "Big", AC68&lt;Dash!$G$49, "Small", AC68&gt;Dash!$G$47, "Good"), "Norm")</f>
        <v>Norm</v>
      </c>
      <c r="AE68">
        <v>85.75</v>
      </c>
      <c r="AF68" t="str">
        <f>_xlfn.IFNA(_xlfn.IFS(AE68&gt;Dash!$H$46, "Big", AE68&lt;Dash!$H$49, "Small", AE68&gt;Dash!$H$47, "Good"), "Norm")</f>
        <v>Small</v>
      </c>
      <c r="AG68">
        <v>29.5</v>
      </c>
      <c r="AH68" t="str">
        <f>_xlfn.IFNA(_xlfn.IFS(AG68&gt;Dash!$I$46, "Big", AG68&lt;Dash!$I$49, "Small", AG68&gt;Dash!$I$47, "Good"), "Norm")</f>
        <v>Norm</v>
      </c>
    </row>
    <row r="69" spans="1:34" x14ac:dyDescent="0.25">
      <c r="A69" s="1">
        <v>45266</v>
      </c>
      <c r="B69" t="s">
        <v>18</v>
      </c>
      <c r="C69" t="s">
        <v>33</v>
      </c>
      <c r="D69" t="s">
        <v>43</v>
      </c>
      <c r="E69">
        <v>235.75</v>
      </c>
      <c r="F69">
        <v>1900</v>
      </c>
      <c r="G69">
        <v>300</v>
      </c>
      <c r="J69" t="s">
        <v>29</v>
      </c>
      <c r="K69" t="s">
        <v>35</v>
      </c>
      <c r="L69" t="s">
        <v>17</v>
      </c>
      <c r="M69" t="s">
        <v>19</v>
      </c>
      <c r="N69">
        <v>8</v>
      </c>
      <c r="P69">
        <v>900</v>
      </c>
      <c r="Q69">
        <v>1500</v>
      </c>
      <c r="R69" t="s">
        <v>20</v>
      </c>
      <c r="S69" t="s">
        <v>38</v>
      </c>
      <c r="T69">
        <v>221.5</v>
      </c>
      <c r="U69" t="str">
        <f>_xlfn.IFNA(_xlfn.IFS(E69&gt;Dash!$D$46, "Big", E69&lt;Dash!$D$49, "Small", E69&gt;Dash!$D$47, "Good"), "Norm")</f>
        <v>Norm</v>
      </c>
      <c r="V69" t="s">
        <v>41</v>
      </c>
      <c r="W69">
        <v>192</v>
      </c>
      <c r="X69">
        <v>1</v>
      </c>
      <c r="Y69">
        <v>98.75</v>
      </c>
      <c r="Z69" t="str">
        <f>_xlfn.IFNA(_xlfn.IFS(Y69&gt;Dash!$E$46, "Big", Y69&lt;Dash!$E$49, "Small", Y69&gt;Dash!$E$47, "Good"), "Norm")</f>
        <v>Good</v>
      </c>
      <c r="AA69">
        <v>66.25</v>
      </c>
      <c r="AB69" t="str">
        <f>_xlfn.IFNA(_xlfn.IFS(AA69&gt;Dash!$F$46, "Big", AA69&lt;Dash!$F$49, "Small", AA69&gt;Dash!$F$47, "Good"), "Norm")</f>
        <v>Norm</v>
      </c>
      <c r="AC69">
        <v>174.25</v>
      </c>
      <c r="AD69" t="str">
        <f>_xlfn.IFNA(_xlfn.IFS(AC69&gt;Dash!$G$46, "Big", AC69&lt;Dash!$G$49, "Small", AC69&gt;Dash!$G$47, "Good"), "Norm")</f>
        <v>Norm</v>
      </c>
      <c r="AE69">
        <v>122.75</v>
      </c>
      <c r="AF69" t="str">
        <f>_xlfn.IFNA(_xlfn.IFS(AE69&gt;Dash!$H$46, "Big", AE69&lt;Dash!$H$49, "Small", AE69&gt;Dash!$H$47, "Good"), "Norm")</f>
        <v>Norm</v>
      </c>
      <c r="AG69">
        <v>12.75</v>
      </c>
      <c r="AH69" t="str">
        <f>_xlfn.IFNA(_xlfn.IFS(AG69&gt;Dash!$I$46, "Big", AG69&lt;Dash!$I$49, "Small", AG69&gt;Dash!$I$47, "Good"), "Norm")</f>
        <v>Small</v>
      </c>
    </row>
    <row r="70" spans="1:34" x14ac:dyDescent="0.25">
      <c r="A70" s="1">
        <v>45267</v>
      </c>
      <c r="B70" t="s">
        <v>36</v>
      </c>
      <c r="C70" t="s">
        <v>20</v>
      </c>
      <c r="D70" t="s">
        <v>38</v>
      </c>
      <c r="E70">
        <v>221.5</v>
      </c>
      <c r="F70">
        <v>2000</v>
      </c>
      <c r="G70">
        <v>2000</v>
      </c>
      <c r="H70">
        <v>1200</v>
      </c>
      <c r="J70" t="s">
        <v>37</v>
      </c>
      <c r="K70" t="s">
        <v>39</v>
      </c>
      <c r="L70" t="s">
        <v>32</v>
      </c>
      <c r="M70" t="s">
        <v>19</v>
      </c>
      <c r="N70">
        <v>8</v>
      </c>
      <c r="P70">
        <v>200</v>
      </c>
      <c r="Q70">
        <v>1400</v>
      </c>
      <c r="R70" t="s">
        <v>33</v>
      </c>
      <c r="S70" t="s">
        <v>28</v>
      </c>
      <c r="T70">
        <v>230.5</v>
      </c>
      <c r="U70" t="str">
        <f>_xlfn.IFNA(_xlfn.IFS(E70&gt;Dash!$D$46, "Big", E70&lt;Dash!$D$49, "Small", E70&gt;Dash!$D$47, "Good"), "Norm")</f>
        <v>Norm</v>
      </c>
      <c r="V70" t="s">
        <v>33</v>
      </c>
      <c r="W70">
        <v>235.75</v>
      </c>
      <c r="X70" t="s">
        <v>43</v>
      </c>
      <c r="Y70">
        <v>32.5</v>
      </c>
      <c r="Z70" t="str">
        <f>_xlfn.IFNA(_xlfn.IFS(Y70&gt;Dash!$E$46, "Big", Y70&lt;Dash!$E$49, "Small", Y70&gt;Dash!$E$47, "Good"), "Norm")</f>
        <v>Small</v>
      </c>
      <c r="AA70">
        <v>70</v>
      </c>
      <c r="AB70" t="str">
        <f>_xlfn.IFNA(_xlfn.IFS(AA70&gt;Dash!$F$46, "Big", AA70&lt;Dash!$F$49, "Small", AA70&gt;Dash!$F$47, "Good"), "Norm")</f>
        <v>Norm</v>
      </c>
      <c r="AC70">
        <v>183.5</v>
      </c>
      <c r="AD70" t="str">
        <f>_xlfn.IFNA(_xlfn.IFS(AC70&gt;Dash!$G$46, "Big", AC70&lt;Dash!$G$49, "Small", AC70&gt;Dash!$G$47, "Good"), "Norm")</f>
        <v>Norm</v>
      </c>
      <c r="AE70">
        <v>56</v>
      </c>
      <c r="AF70" t="str">
        <f>_xlfn.IFNA(_xlfn.IFS(AE70&gt;Dash!$H$46, "Big", AE70&lt;Dash!$H$49, "Small", AE70&gt;Dash!$H$47, "Good"), "Norm")</f>
        <v>Small</v>
      </c>
      <c r="AG70">
        <v>29.5</v>
      </c>
      <c r="AH70" t="str">
        <f>_xlfn.IFNA(_xlfn.IFS(AG70&gt;Dash!$I$46, "Big", AG70&lt;Dash!$I$49, "Small", AG70&gt;Dash!$I$47, "Good"), "Norm")</f>
        <v>Norm</v>
      </c>
    </row>
    <row r="71" spans="1:34" x14ac:dyDescent="0.25">
      <c r="A71" s="1">
        <v>45268</v>
      </c>
      <c r="B71" t="s">
        <v>26</v>
      </c>
      <c r="C71" t="s">
        <v>33</v>
      </c>
      <c r="D71" t="s">
        <v>28</v>
      </c>
      <c r="E71">
        <v>230.5</v>
      </c>
      <c r="F71">
        <v>1000</v>
      </c>
      <c r="J71" t="s">
        <v>27</v>
      </c>
      <c r="K71" t="s">
        <v>25</v>
      </c>
      <c r="L71" t="s">
        <v>32</v>
      </c>
      <c r="M71" t="s">
        <v>19</v>
      </c>
      <c r="N71">
        <v>8</v>
      </c>
      <c r="P71">
        <v>1200</v>
      </c>
      <c r="Q71">
        <v>1400</v>
      </c>
      <c r="R71" t="s">
        <v>13</v>
      </c>
      <c r="S71" t="s">
        <v>28</v>
      </c>
      <c r="T71">
        <v>401.25</v>
      </c>
      <c r="U71" t="str">
        <f>_xlfn.IFNA(_xlfn.IFS(E71&gt;Dash!$D$46, "Big", E71&lt;Dash!$D$49, "Small", E71&gt;Dash!$D$47, "Good"), "Norm")</f>
        <v>Norm</v>
      </c>
      <c r="V71" t="s">
        <v>20</v>
      </c>
      <c r="W71">
        <v>221.5</v>
      </c>
      <c r="X71" t="s">
        <v>38</v>
      </c>
      <c r="Y71">
        <v>24.25</v>
      </c>
      <c r="Z71" t="str">
        <f>_xlfn.IFNA(_xlfn.IFS(Y71&gt;Dash!$E$46, "Big", Y71&lt;Dash!$E$49, "Small", Y71&gt;Dash!$E$47, "Good"), "Norm")</f>
        <v>Small</v>
      </c>
      <c r="AA71">
        <v>68</v>
      </c>
      <c r="AB71" t="str">
        <f>_xlfn.IFNA(_xlfn.IFS(AA71&gt;Dash!$F$46, "Big", AA71&lt;Dash!$F$49, "Small", AA71&gt;Dash!$F$47, "Good"), "Norm")</f>
        <v>Norm</v>
      </c>
      <c r="AC71">
        <v>225.25</v>
      </c>
      <c r="AD71" t="str">
        <f>_xlfn.IFNA(_xlfn.IFS(AC71&gt;Dash!$G$46, "Big", AC71&lt;Dash!$G$49, "Small", AC71&gt;Dash!$G$47, "Good"), "Norm")</f>
        <v>Good</v>
      </c>
      <c r="AE71">
        <v>129.25</v>
      </c>
      <c r="AF71" t="str">
        <f>_xlfn.IFNA(_xlfn.IFS(AE71&gt;Dash!$H$46, "Big", AE71&lt;Dash!$H$49, "Small", AE71&gt;Dash!$H$47, "Good"), "Norm")</f>
        <v>Norm</v>
      </c>
      <c r="AG71">
        <v>12.75</v>
      </c>
      <c r="AH71" t="str">
        <f>_xlfn.IFNA(_xlfn.IFS(AG71&gt;Dash!$I$46, "Big", AG71&lt;Dash!$I$49, "Small", AG71&gt;Dash!$I$47, "Good"), "Norm")</f>
        <v>Small</v>
      </c>
    </row>
    <row r="72" spans="1:34" x14ac:dyDescent="0.25">
      <c r="A72" s="1">
        <v>45271</v>
      </c>
      <c r="B72" t="s">
        <v>23</v>
      </c>
      <c r="C72" t="s">
        <v>13</v>
      </c>
      <c r="D72" t="s">
        <v>28</v>
      </c>
      <c r="E72">
        <v>401.25</v>
      </c>
      <c r="F72">
        <v>900</v>
      </c>
      <c r="J72" t="s">
        <v>27</v>
      </c>
      <c r="K72" t="s">
        <v>31</v>
      </c>
      <c r="L72" t="s">
        <v>32</v>
      </c>
      <c r="M72" t="s">
        <v>19</v>
      </c>
      <c r="N72">
        <v>15</v>
      </c>
      <c r="P72">
        <v>1400</v>
      </c>
      <c r="Q72">
        <v>1500</v>
      </c>
      <c r="R72">
        <v>0</v>
      </c>
      <c r="S72" t="s">
        <v>28</v>
      </c>
      <c r="T72">
        <v>183.25</v>
      </c>
      <c r="U72" t="str">
        <f>_xlfn.IFNA(_xlfn.IFS(E72&gt;Dash!$D$46, "Big", E72&lt;Dash!$D$49, "Small", E72&gt;Dash!$D$47, "Good"), "Norm")</f>
        <v>Good</v>
      </c>
      <c r="V72" t="s">
        <v>33</v>
      </c>
      <c r="W72">
        <v>230.5</v>
      </c>
      <c r="X72" t="s">
        <v>28</v>
      </c>
      <c r="Y72">
        <v>65.25</v>
      </c>
      <c r="Z72" t="str">
        <f>_xlfn.IFNA(_xlfn.IFS(Y72&gt;Dash!$E$46, "Big", Y72&lt;Dash!$E$49, "Small", Y72&gt;Dash!$E$47, "Good"), "Norm")</f>
        <v>Norm</v>
      </c>
      <c r="AA72">
        <v>45.25</v>
      </c>
      <c r="AB72" t="str">
        <f>_xlfn.IFNA(_xlfn.IFS(AA72&gt;Dash!$F$46, "Big", AA72&lt;Dash!$F$49, "Small", AA72&gt;Dash!$F$47, "Good"), "Norm")</f>
        <v>Small</v>
      </c>
      <c r="AC72">
        <v>141.5</v>
      </c>
      <c r="AD72" t="str">
        <f>_xlfn.IFNA(_xlfn.IFS(AC72&gt;Dash!$G$46, "Big", AC72&lt;Dash!$G$49, "Small", AC72&gt;Dash!$G$47, "Good"), "Norm")</f>
        <v>Norm</v>
      </c>
      <c r="AE72">
        <v>312.75</v>
      </c>
      <c r="AF72" t="str">
        <f>_xlfn.IFNA(_xlfn.IFS(AE72&gt;Dash!$H$46, "Big", AE72&lt;Dash!$H$49, "Small", AE72&gt;Dash!$H$47, "Good"), "Norm")</f>
        <v>Big</v>
      </c>
      <c r="AG72">
        <v>19</v>
      </c>
      <c r="AH72" t="str">
        <f>_xlfn.IFNA(_xlfn.IFS(AG72&gt;Dash!$I$46, "Big", AG72&lt;Dash!$I$49, "Small", AG72&gt;Dash!$I$47, "Good"), "Norm")</f>
        <v>Small</v>
      </c>
    </row>
    <row r="73" spans="1:34" x14ac:dyDescent="0.25">
      <c r="A73" s="1">
        <v>45272</v>
      </c>
      <c r="B73" t="s">
        <v>19</v>
      </c>
      <c r="D73" t="s">
        <v>28</v>
      </c>
      <c r="E73">
        <v>183.25</v>
      </c>
      <c r="F73">
        <v>1900</v>
      </c>
      <c r="G73">
        <v>800</v>
      </c>
      <c r="J73" t="s">
        <v>29</v>
      </c>
      <c r="K73" t="s">
        <v>25</v>
      </c>
      <c r="L73" t="s">
        <v>44</v>
      </c>
      <c r="M73" t="s">
        <v>19</v>
      </c>
      <c r="N73">
        <v>15</v>
      </c>
      <c r="P73">
        <v>1200</v>
      </c>
      <c r="Q73">
        <v>1600</v>
      </c>
      <c r="R73" t="s">
        <v>33</v>
      </c>
      <c r="S73" t="s">
        <v>28</v>
      </c>
      <c r="T73">
        <v>230.5</v>
      </c>
      <c r="U73" t="str">
        <f>_xlfn.IFNA(_xlfn.IFS(E73&gt;Dash!$D$46, "Big", E73&lt;Dash!$D$49, "Small", E73&gt;Dash!$D$47, "Good"), "Norm")</f>
        <v>Norm</v>
      </c>
      <c r="V73" t="s">
        <v>13</v>
      </c>
      <c r="W73">
        <v>401.25</v>
      </c>
      <c r="X73" t="s">
        <v>28</v>
      </c>
      <c r="Y73">
        <v>44</v>
      </c>
      <c r="Z73" t="str">
        <f>_xlfn.IFNA(_xlfn.IFS(Y73&gt;Dash!$E$46, "Big", Y73&lt;Dash!$E$49, "Small", Y73&gt;Dash!$E$47, "Good"), "Norm")</f>
        <v>Norm</v>
      </c>
      <c r="AA73">
        <v>32.75</v>
      </c>
      <c r="AB73" t="str">
        <f>_xlfn.IFNA(_xlfn.IFS(AA73&gt;Dash!$F$46, "Big", AA73&lt;Dash!$F$49, "Small", AA73&gt;Dash!$F$47, "Good"), "Norm")</f>
        <v>Small</v>
      </c>
      <c r="AC73">
        <v>151.5</v>
      </c>
      <c r="AD73" t="str">
        <f>_xlfn.IFNA(_xlfn.IFS(AC73&gt;Dash!$G$46, "Big", AC73&lt;Dash!$G$49, "Small", AC73&gt;Dash!$G$47, "Good"), "Norm")</f>
        <v>Norm</v>
      </c>
      <c r="AE73">
        <v>114.75</v>
      </c>
      <c r="AF73" t="str">
        <f>_xlfn.IFNA(_xlfn.IFS(AE73&gt;Dash!$H$46, "Big", AE73&lt;Dash!$H$49, "Small", AE73&gt;Dash!$H$47, "Good"), "Norm")</f>
        <v>Norm</v>
      </c>
      <c r="AG73">
        <v>26.5</v>
      </c>
      <c r="AH73" t="str">
        <f>_xlfn.IFNA(_xlfn.IFS(AG73&gt;Dash!$I$46, "Big", AG73&lt;Dash!$I$49, "Small", AG73&gt;Dash!$I$47, "Good"), "Norm")</f>
        <v>Norm</v>
      </c>
    </row>
    <row r="74" spans="1:34" x14ac:dyDescent="0.25">
      <c r="A74" s="1">
        <v>45273</v>
      </c>
      <c r="B74" t="s">
        <v>18</v>
      </c>
      <c r="C74" t="s">
        <v>33</v>
      </c>
      <c r="D74" t="s">
        <v>28</v>
      </c>
      <c r="E74">
        <v>230.5</v>
      </c>
      <c r="F74">
        <v>1800</v>
      </c>
      <c r="G74">
        <v>100</v>
      </c>
      <c r="J74" t="s">
        <v>29</v>
      </c>
      <c r="K74" t="s">
        <v>17</v>
      </c>
      <c r="L74" t="s">
        <v>32</v>
      </c>
      <c r="M74" t="s">
        <v>19</v>
      </c>
      <c r="N74">
        <v>15</v>
      </c>
      <c r="P74">
        <v>1300</v>
      </c>
      <c r="Q74">
        <v>1500</v>
      </c>
      <c r="R74" t="s">
        <v>13</v>
      </c>
      <c r="S74" t="s">
        <v>43</v>
      </c>
      <c r="T74">
        <v>249.25</v>
      </c>
      <c r="U74" t="str">
        <f>_xlfn.IFNA(_xlfn.IFS(E74&gt;Dash!$D$46, "Big", E74&lt;Dash!$D$49, "Small", E74&gt;Dash!$D$47, "Good"), "Norm")</f>
        <v>Norm</v>
      </c>
      <c r="V74">
        <v>0</v>
      </c>
      <c r="W74">
        <v>183.25</v>
      </c>
      <c r="X74" t="s">
        <v>28</v>
      </c>
      <c r="Y74">
        <v>23.25</v>
      </c>
      <c r="Z74" t="str">
        <f>_xlfn.IFNA(_xlfn.IFS(Y74&gt;Dash!$E$46, "Big", Y74&lt;Dash!$E$49, "Small", Y74&gt;Dash!$E$47, "Good"), "Norm")</f>
        <v>Small</v>
      </c>
      <c r="AA74">
        <v>25</v>
      </c>
      <c r="AB74" t="str">
        <f>_xlfn.IFNA(_xlfn.IFS(AA74&gt;Dash!$F$46, "Big", AA74&lt;Dash!$F$49, "Small", AA74&gt;Dash!$F$47, "Good"), "Norm")</f>
        <v>Small</v>
      </c>
      <c r="AC74">
        <v>60</v>
      </c>
      <c r="AD74" t="str">
        <f>_xlfn.IFNA(_xlfn.IFS(AC74&gt;Dash!$G$46, "Big", AC74&lt;Dash!$G$49, "Small", AC74&gt;Dash!$G$47, "Good"), "Norm")</f>
        <v>Small</v>
      </c>
      <c r="AE74">
        <v>230.5</v>
      </c>
      <c r="AF74" t="str">
        <f>_xlfn.IFNA(_xlfn.IFS(AE74&gt;Dash!$H$46, "Big", AE74&lt;Dash!$H$49, "Small", AE74&gt;Dash!$H$47, "Good"), "Norm")</f>
        <v>Good</v>
      </c>
      <c r="AG74">
        <v>32</v>
      </c>
      <c r="AH74" t="str">
        <f>_xlfn.IFNA(_xlfn.IFS(AG74&gt;Dash!$I$46, "Big", AG74&lt;Dash!$I$49, "Small", AG74&gt;Dash!$I$47, "Good"), "Norm")</f>
        <v>Norm</v>
      </c>
    </row>
    <row r="75" spans="1:34" x14ac:dyDescent="0.25">
      <c r="A75" s="1">
        <v>45274</v>
      </c>
      <c r="B75" t="s">
        <v>36</v>
      </c>
      <c r="C75" t="s">
        <v>13</v>
      </c>
      <c r="D75" t="s">
        <v>43</v>
      </c>
      <c r="E75">
        <v>249.25</v>
      </c>
      <c r="F75">
        <v>1800</v>
      </c>
      <c r="G75">
        <v>1100</v>
      </c>
      <c r="J75" t="s">
        <v>29</v>
      </c>
      <c r="K75" t="s">
        <v>16</v>
      </c>
      <c r="L75" t="s">
        <v>17</v>
      </c>
      <c r="M75" t="s">
        <v>19</v>
      </c>
      <c r="N75">
        <v>15</v>
      </c>
      <c r="P75">
        <v>1300</v>
      </c>
      <c r="Q75">
        <v>1600</v>
      </c>
      <c r="R75" t="s">
        <v>24</v>
      </c>
      <c r="S75" t="s">
        <v>28</v>
      </c>
      <c r="T75">
        <v>130.5</v>
      </c>
      <c r="U75" t="str">
        <f>_xlfn.IFNA(_xlfn.IFS(E75&gt;Dash!$D$46, "Big", E75&lt;Dash!$D$49, "Small", E75&gt;Dash!$D$47, "Good"), "Norm")</f>
        <v>Norm</v>
      </c>
      <c r="V75" t="s">
        <v>33</v>
      </c>
      <c r="W75">
        <v>230.5</v>
      </c>
      <c r="X75" t="s">
        <v>28</v>
      </c>
      <c r="Y75">
        <v>109.75</v>
      </c>
      <c r="Z75" t="str">
        <f>_xlfn.IFNA(_xlfn.IFS(Y75&gt;Dash!$E$46, "Big", Y75&lt;Dash!$E$49, "Small", Y75&gt;Dash!$E$47, "Good"), "Norm")</f>
        <v>Good</v>
      </c>
      <c r="AA75">
        <v>57.75</v>
      </c>
      <c r="AB75" t="str">
        <f>_xlfn.IFNA(_xlfn.IFS(AA75&gt;Dash!$F$46, "Big", AA75&lt;Dash!$F$49, "Small", AA75&gt;Dash!$F$47, "Good"), "Norm")</f>
        <v>Norm</v>
      </c>
      <c r="AC75">
        <v>135.25</v>
      </c>
      <c r="AD75" t="str">
        <f>_xlfn.IFNA(_xlfn.IFS(AC75&gt;Dash!$G$46, "Big", AC75&lt;Dash!$G$49, "Small", AC75&gt;Dash!$G$47, "Good"), "Norm")</f>
        <v>Norm</v>
      </c>
      <c r="AE75">
        <v>190</v>
      </c>
      <c r="AF75" t="str">
        <f>_xlfn.IFNA(_xlfn.IFS(AE75&gt;Dash!$H$46, "Big", AE75&lt;Dash!$H$49, "Small", AE75&gt;Dash!$H$47, "Good"), "Norm")</f>
        <v>Good</v>
      </c>
      <c r="AG75">
        <v>26</v>
      </c>
      <c r="AH75" t="str">
        <f>_xlfn.IFNA(_xlfn.IFS(AG75&gt;Dash!$I$46, "Big", AG75&lt;Dash!$I$49, "Small", AG75&gt;Dash!$I$47, "Good"), "Norm")</f>
        <v>Norm</v>
      </c>
    </row>
    <row r="76" spans="1:34" x14ac:dyDescent="0.25">
      <c r="A76" s="1">
        <v>45275</v>
      </c>
      <c r="B76" t="s">
        <v>26</v>
      </c>
      <c r="C76" t="s">
        <v>24</v>
      </c>
      <c r="D76" t="s">
        <v>28</v>
      </c>
      <c r="E76">
        <v>130.5</v>
      </c>
      <c r="F76">
        <v>1100</v>
      </c>
      <c r="G76">
        <v>1100</v>
      </c>
      <c r="J76" t="s">
        <v>27</v>
      </c>
      <c r="K76" t="s">
        <v>31</v>
      </c>
      <c r="L76" t="s">
        <v>35</v>
      </c>
      <c r="M76" t="s">
        <v>19</v>
      </c>
      <c r="N76">
        <v>15</v>
      </c>
      <c r="P76">
        <v>1300</v>
      </c>
      <c r="Q76">
        <v>1500</v>
      </c>
      <c r="R76" t="s">
        <v>13</v>
      </c>
      <c r="S76" t="s">
        <v>28</v>
      </c>
      <c r="T76">
        <v>144</v>
      </c>
      <c r="U76" t="str">
        <f>_xlfn.IFNA(_xlfn.IFS(E76&gt;Dash!$D$46, "Big", E76&lt;Dash!$D$49, "Small", E76&gt;Dash!$D$47, "Good"), "Norm")</f>
        <v>Small</v>
      </c>
      <c r="V76" t="s">
        <v>13</v>
      </c>
      <c r="W76">
        <v>249.25</v>
      </c>
      <c r="X76" t="s">
        <v>43</v>
      </c>
      <c r="Y76">
        <v>49</v>
      </c>
      <c r="Z76" t="str">
        <f>_xlfn.IFNA(_xlfn.IFS(Y76&gt;Dash!$E$46, "Big", Y76&lt;Dash!$E$49, "Small", Y76&gt;Dash!$E$47, "Good"), "Norm")</f>
        <v>Norm</v>
      </c>
      <c r="AA76">
        <v>43.25</v>
      </c>
      <c r="AB76" t="str">
        <f>_xlfn.IFNA(_xlfn.IFS(AA76&gt;Dash!$F$46, "Big", AA76&lt;Dash!$F$49, "Small", AA76&gt;Dash!$F$47, "Good"), "Norm")</f>
        <v>Small</v>
      </c>
      <c r="AC76">
        <v>130.5</v>
      </c>
      <c r="AD76" t="str">
        <f>_xlfn.IFNA(_xlfn.IFS(AC76&gt;Dash!$G$46, "Big", AC76&lt;Dash!$G$49, "Small", AC76&gt;Dash!$G$47, "Good"), "Norm")</f>
        <v>Norm</v>
      </c>
      <c r="AE76">
        <v>108</v>
      </c>
      <c r="AF76" t="str">
        <f>_xlfn.IFNA(_xlfn.IFS(AE76&gt;Dash!$H$46, "Big", AE76&lt;Dash!$H$49, "Small", AE76&gt;Dash!$H$47, "Good"), "Norm")</f>
        <v>Norm</v>
      </c>
      <c r="AG76">
        <v>20</v>
      </c>
      <c r="AH76" t="str">
        <f>_xlfn.IFNA(_xlfn.IFS(AG76&gt;Dash!$I$46, "Big", AG76&lt;Dash!$I$49, "Small", AG76&gt;Dash!$I$47, "Good"), "Norm")</f>
        <v>Small</v>
      </c>
    </row>
    <row r="77" spans="1:34" x14ac:dyDescent="0.25">
      <c r="A77" s="1">
        <v>45278</v>
      </c>
      <c r="B77" t="s">
        <v>23</v>
      </c>
      <c r="C77" t="s">
        <v>13</v>
      </c>
      <c r="D77" t="s">
        <v>28</v>
      </c>
      <c r="E77">
        <v>144</v>
      </c>
      <c r="F77">
        <v>1000</v>
      </c>
      <c r="G77">
        <v>1000</v>
      </c>
      <c r="J77" t="s">
        <v>27</v>
      </c>
      <c r="K77" t="s">
        <v>31</v>
      </c>
      <c r="L77" t="s">
        <v>32</v>
      </c>
      <c r="M77" t="s">
        <v>18</v>
      </c>
      <c r="N77">
        <v>5</v>
      </c>
      <c r="P77">
        <v>1100</v>
      </c>
      <c r="Q77">
        <v>1400</v>
      </c>
      <c r="R77" t="s">
        <v>13</v>
      </c>
      <c r="S77" t="s">
        <v>28</v>
      </c>
      <c r="T77">
        <v>83</v>
      </c>
      <c r="U77" t="str">
        <f>_xlfn.IFNA(_xlfn.IFS(E77&gt;Dash!$D$46, "Big", E77&lt;Dash!$D$49, "Small", E77&gt;Dash!$D$47, "Good"), "Norm")</f>
        <v>Small</v>
      </c>
      <c r="V77" t="s">
        <v>24</v>
      </c>
      <c r="W77">
        <v>130.5</v>
      </c>
      <c r="X77" t="s">
        <v>28</v>
      </c>
      <c r="Y77">
        <v>56.5</v>
      </c>
      <c r="Z77" t="str">
        <f>_xlfn.IFNA(_xlfn.IFS(Y77&gt;Dash!$E$46, "Big", Y77&lt;Dash!$E$49, "Small", Y77&gt;Dash!$E$47, "Good"), "Norm")</f>
        <v>Norm</v>
      </c>
      <c r="AA77">
        <v>47.5</v>
      </c>
      <c r="AB77" t="str">
        <f>_xlfn.IFNA(_xlfn.IFS(AA77&gt;Dash!$F$46, "Big", AA77&lt;Dash!$F$49, "Small", AA77&gt;Dash!$F$47, "Good"), "Norm")</f>
        <v>Small</v>
      </c>
      <c r="AC77">
        <v>84.75</v>
      </c>
      <c r="AD77" t="str">
        <f>_xlfn.IFNA(_xlfn.IFS(AC77&gt;Dash!$G$46, "Big", AC77&lt;Dash!$G$49, "Small", AC77&gt;Dash!$G$47, "Good"), "Norm")</f>
        <v>Small</v>
      </c>
      <c r="AE77">
        <v>69.25</v>
      </c>
      <c r="AF77" t="str">
        <f>_xlfn.IFNA(_xlfn.IFS(AE77&gt;Dash!$H$46, "Big", AE77&lt;Dash!$H$49, "Small", AE77&gt;Dash!$H$47, "Good"), "Norm")</f>
        <v>Small</v>
      </c>
      <c r="AG77">
        <v>25.75</v>
      </c>
      <c r="AH77" t="str">
        <f>_xlfn.IFNA(_xlfn.IFS(AG77&gt;Dash!$I$46, "Big", AG77&lt;Dash!$I$49, "Small", AG77&gt;Dash!$I$47, "Good"), "Norm")</f>
        <v>Norm</v>
      </c>
    </row>
    <row r="78" spans="1:34" x14ac:dyDescent="0.25">
      <c r="A78" s="1">
        <v>45279</v>
      </c>
      <c r="B78" t="s">
        <v>19</v>
      </c>
      <c r="C78" t="s">
        <v>13</v>
      </c>
      <c r="D78" t="s">
        <v>28</v>
      </c>
      <c r="E78">
        <v>83</v>
      </c>
      <c r="F78">
        <v>700</v>
      </c>
      <c r="G78">
        <v>700</v>
      </c>
      <c r="J78" t="s">
        <v>30</v>
      </c>
      <c r="K78" t="s">
        <v>31</v>
      </c>
      <c r="L78" t="s">
        <v>44</v>
      </c>
      <c r="M78" t="s">
        <v>18</v>
      </c>
      <c r="N78">
        <v>5</v>
      </c>
      <c r="P78">
        <v>1500</v>
      </c>
      <c r="Q78">
        <v>1500</v>
      </c>
      <c r="R78" t="s">
        <v>33</v>
      </c>
      <c r="S78" t="s">
        <v>57</v>
      </c>
      <c r="T78">
        <v>313.25</v>
      </c>
      <c r="U78" t="str">
        <f>_xlfn.IFNA(_xlfn.IFS(E78&gt;Dash!$D$46, "Big", E78&lt;Dash!$D$49, "Small", E78&gt;Dash!$D$47, "Good"), "Norm")</f>
        <v>Small</v>
      </c>
      <c r="V78" t="s">
        <v>13</v>
      </c>
      <c r="W78">
        <v>144</v>
      </c>
      <c r="X78" t="s">
        <v>28</v>
      </c>
      <c r="Y78">
        <v>27.5</v>
      </c>
      <c r="Z78" t="str">
        <f>_xlfn.IFNA(_xlfn.IFS(Y78&gt;Dash!$E$46, "Big", Y78&lt;Dash!$E$49, "Small", Y78&gt;Dash!$E$47, "Good"), "Norm")</f>
        <v>Small</v>
      </c>
      <c r="AA78">
        <v>69.25</v>
      </c>
      <c r="AB78" t="str">
        <f>_xlfn.IFNA(_xlfn.IFS(AA78&gt;Dash!$F$46, "Big", AA78&lt;Dash!$F$49, "Small", AA78&gt;Dash!$F$47, "Good"), "Norm")</f>
        <v>Norm</v>
      </c>
      <c r="AC78">
        <v>68</v>
      </c>
      <c r="AD78" t="str">
        <f>_xlfn.IFNA(_xlfn.IFS(AC78&gt;Dash!$G$46, "Big", AC78&lt;Dash!$G$49, "Small", AC78&gt;Dash!$G$47, "Good"), "Norm")</f>
        <v>Small</v>
      </c>
      <c r="AE78">
        <v>62.25</v>
      </c>
      <c r="AF78" t="str">
        <f>_xlfn.IFNA(_xlfn.IFS(AE78&gt;Dash!$H$46, "Big", AE78&lt;Dash!$H$49, "Small", AE78&gt;Dash!$H$47, "Good"), "Norm")</f>
        <v>Small</v>
      </c>
      <c r="AG78">
        <v>14.75</v>
      </c>
      <c r="AH78" t="str">
        <f>_xlfn.IFNA(_xlfn.IFS(AG78&gt;Dash!$I$46, "Big", AG78&lt;Dash!$I$49, "Small", AG78&gt;Dash!$I$47, "Good"), "Norm")</f>
        <v>Small</v>
      </c>
    </row>
    <row r="79" spans="1:34" x14ac:dyDescent="0.25">
      <c r="A79" s="1">
        <v>45280</v>
      </c>
      <c r="B79" t="s">
        <v>18</v>
      </c>
      <c r="C79" t="s">
        <v>33</v>
      </c>
      <c r="D79" t="s">
        <v>57</v>
      </c>
      <c r="E79">
        <v>313.25</v>
      </c>
      <c r="F79">
        <v>1800</v>
      </c>
      <c r="G79">
        <v>1800</v>
      </c>
      <c r="H79">
        <v>1400</v>
      </c>
      <c r="J79" t="s">
        <v>29</v>
      </c>
      <c r="K79" t="s">
        <v>35</v>
      </c>
      <c r="L79" t="s">
        <v>42</v>
      </c>
      <c r="M79" t="s">
        <v>18</v>
      </c>
      <c r="N79">
        <v>5</v>
      </c>
      <c r="P79">
        <v>1300</v>
      </c>
      <c r="Q79">
        <v>1600</v>
      </c>
      <c r="R79" t="s">
        <v>24</v>
      </c>
      <c r="S79">
        <v>1</v>
      </c>
      <c r="T79">
        <v>155.25</v>
      </c>
      <c r="U79" t="str">
        <f>_xlfn.IFNA(_xlfn.IFS(E79&gt;Dash!$D$46, "Big", E79&lt;Dash!$D$49, "Small", E79&gt;Dash!$D$47, "Good"), "Norm")</f>
        <v>Good</v>
      </c>
      <c r="V79" t="s">
        <v>13</v>
      </c>
      <c r="W79">
        <v>83</v>
      </c>
      <c r="X79" t="s">
        <v>28</v>
      </c>
      <c r="Y79">
        <v>25.75</v>
      </c>
      <c r="Z79" t="str">
        <f>_xlfn.IFNA(_xlfn.IFS(Y79&gt;Dash!$E$46, "Big", Y79&lt;Dash!$E$49, "Small", Y79&gt;Dash!$E$47, "Good"), "Norm")</f>
        <v>Small</v>
      </c>
      <c r="AA79">
        <v>78.25</v>
      </c>
      <c r="AB79" t="str">
        <f>_xlfn.IFNA(_xlfn.IFS(AA79&gt;Dash!$F$46, "Big", AA79&lt;Dash!$F$49, "Small", AA79&gt;Dash!$F$47, "Good"), "Norm")</f>
        <v>Norm</v>
      </c>
      <c r="AC79">
        <v>103.5</v>
      </c>
      <c r="AD79" t="str">
        <f>_xlfn.IFNA(_xlfn.IFS(AC79&gt;Dash!$G$46, "Big", AC79&lt;Dash!$G$49, "Small", AC79&gt;Dash!$G$47, "Good"), "Norm")</f>
        <v>Small</v>
      </c>
      <c r="AE79">
        <v>305.5</v>
      </c>
      <c r="AF79" t="str">
        <f>_xlfn.IFNA(_xlfn.IFS(AE79&gt;Dash!$H$46, "Big", AE79&lt;Dash!$H$49, "Small", AE79&gt;Dash!$H$47, "Good"), "Norm")</f>
        <v>Big</v>
      </c>
      <c r="AG79">
        <v>36.25</v>
      </c>
      <c r="AH79" t="str">
        <f>_xlfn.IFNA(_xlfn.IFS(AG79&gt;Dash!$I$46, "Big", AG79&lt;Dash!$I$49, "Small", AG79&gt;Dash!$I$47, "Good"), "Norm")</f>
        <v>Norm</v>
      </c>
    </row>
    <row r="80" spans="1:34" x14ac:dyDescent="0.25">
      <c r="A80" s="1">
        <v>45281</v>
      </c>
      <c r="B80" t="s">
        <v>36</v>
      </c>
      <c r="C80" t="s">
        <v>24</v>
      </c>
      <c r="D80">
        <v>1</v>
      </c>
      <c r="E80">
        <v>155.25</v>
      </c>
      <c r="J80" t="s">
        <v>34</v>
      </c>
      <c r="K80" t="s">
        <v>31</v>
      </c>
      <c r="L80" t="s">
        <v>35</v>
      </c>
      <c r="M80" t="s">
        <v>18</v>
      </c>
      <c r="N80">
        <v>5</v>
      </c>
      <c r="P80">
        <v>1300</v>
      </c>
      <c r="Q80">
        <v>1500</v>
      </c>
      <c r="R80" t="s">
        <v>24</v>
      </c>
      <c r="S80" t="s">
        <v>43</v>
      </c>
      <c r="T80">
        <v>145.5</v>
      </c>
      <c r="U80" t="str">
        <f>_xlfn.IFNA(_xlfn.IFS(E80&gt;Dash!$D$46, "Big", E80&lt;Dash!$D$49, "Small", E80&gt;Dash!$D$47, "Good"), "Norm")</f>
        <v>Small</v>
      </c>
      <c r="V80" t="s">
        <v>33</v>
      </c>
      <c r="W80">
        <v>313.25</v>
      </c>
      <c r="X80" t="s">
        <v>57</v>
      </c>
      <c r="Y80">
        <v>57.75</v>
      </c>
      <c r="Z80" t="str">
        <f>_xlfn.IFNA(_xlfn.IFS(Y80&gt;Dash!$E$46, "Big", Y80&lt;Dash!$E$49, "Small", Y80&gt;Dash!$E$47, "Good"), "Norm")</f>
        <v>Norm</v>
      </c>
      <c r="AA80">
        <v>48.5</v>
      </c>
      <c r="AB80" t="str">
        <f>_xlfn.IFNA(_xlfn.IFS(AA80&gt;Dash!$F$46, "Big", AA80&lt;Dash!$F$49, "Small", AA80&gt;Dash!$F$47, "Good"), "Norm")</f>
        <v>Small</v>
      </c>
      <c r="AC80">
        <v>127</v>
      </c>
      <c r="AD80" t="str">
        <f>_xlfn.IFNA(_xlfn.IFS(AC80&gt;Dash!$G$46, "Big", AC80&lt;Dash!$G$49, "Small", AC80&gt;Dash!$G$47, "Good"), "Norm")</f>
        <v>Norm</v>
      </c>
      <c r="AE80">
        <v>151</v>
      </c>
      <c r="AF80" t="str">
        <f>_xlfn.IFNA(_xlfn.IFS(AE80&gt;Dash!$H$46, "Big", AE80&lt;Dash!$H$49, "Small", AE80&gt;Dash!$H$47, "Good"), "Norm")</f>
        <v>Good</v>
      </c>
      <c r="AG80">
        <v>15</v>
      </c>
      <c r="AH80" t="str">
        <f>_xlfn.IFNA(_xlfn.IFS(AG80&gt;Dash!$I$46, "Big", AG80&lt;Dash!$I$49, "Small", AG80&gt;Dash!$I$47, "Good"), "Norm")</f>
        <v>Small</v>
      </c>
    </row>
    <row r="81" spans="1:34" x14ac:dyDescent="0.25">
      <c r="A81" s="1">
        <v>45282</v>
      </c>
      <c r="B81" t="s">
        <v>26</v>
      </c>
      <c r="C81" t="s">
        <v>24</v>
      </c>
      <c r="D81" t="s">
        <v>43</v>
      </c>
      <c r="E81">
        <v>145.5</v>
      </c>
      <c r="F81">
        <v>800</v>
      </c>
      <c r="G81">
        <v>1600</v>
      </c>
      <c r="J81" t="s">
        <v>27</v>
      </c>
      <c r="K81" t="s">
        <v>31</v>
      </c>
      <c r="L81" t="s">
        <v>35</v>
      </c>
      <c r="M81" t="s">
        <v>18</v>
      </c>
      <c r="N81">
        <v>5</v>
      </c>
      <c r="O81" t="s">
        <v>67</v>
      </c>
      <c r="P81">
        <v>1300</v>
      </c>
      <c r="Q81">
        <v>1400</v>
      </c>
      <c r="R81" t="s">
        <v>13</v>
      </c>
      <c r="S81" t="s">
        <v>28</v>
      </c>
      <c r="T81">
        <v>114.25</v>
      </c>
      <c r="U81" t="str">
        <f>_xlfn.IFNA(_xlfn.IFS(E81&gt;Dash!$D$46, "Big", E81&lt;Dash!$D$49, "Small", E81&gt;Dash!$D$47, "Good"), "Norm")</f>
        <v>Small</v>
      </c>
      <c r="V81" t="s">
        <v>24</v>
      </c>
      <c r="W81">
        <v>155.25</v>
      </c>
      <c r="X81">
        <v>1</v>
      </c>
      <c r="Y81">
        <v>64.75</v>
      </c>
      <c r="Z81" t="str">
        <f>_xlfn.IFNA(_xlfn.IFS(Y81&gt;Dash!$E$46, "Big", Y81&lt;Dash!$E$49, "Small", Y81&gt;Dash!$E$47, "Good"), "Norm")</f>
        <v>Norm</v>
      </c>
      <c r="AA81">
        <v>53.75</v>
      </c>
      <c r="AB81" t="str">
        <f>_xlfn.IFNA(_xlfn.IFS(AA81&gt;Dash!$F$46, "Big", AA81&lt;Dash!$F$49, "Small", AA81&gt;Dash!$F$47, "Good"), "Norm")</f>
        <v>Small</v>
      </c>
      <c r="AC81">
        <v>111</v>
      </c>
      <c r="AD81" t="str">
        <f>_xlfn.IFNA(_xlfn.IFS(AC81&gt;Dash!$G$46, "Big", AC81&lt;Dash!$G$49, "Small", AC81&gt;Dash!$G$47, "Good"), "Norm")</f>
        <v>Small</v>
      </c>
      <c r="AE81">
        <v>125.25</v>
      </c>
      <c r="AF81" t="str">
        <f>_xlfn.IFNA(_xlfn.IFS(AE81&gt;Dash!$H$46, "Big", AE81&lt;Dash!$H$49, "Small", AE81&gt;Dash!$H$47, "Good"), "Norm")</f>
        <v>Norm</v>
      </c>
      <c r="AG81">
        <v>28.75</v>
      </c>
      <c r="AH81" t="str">
        <f>_xlfn.IFNA(_xlfn.IFS(AG81&gt;Dash!$I$46, "Big", AG81&lt;Dash!$I$49, "Small", AG81&gt;Dash!$I$47, "Good"), "Norm")</f>
        <v>Norm</v>
      </c>
    </row>
    <row r="82" spans="1:34" x14ac:dyDescent="0.25">
      <c r="A82" s="1">
        <v>45286</v>
      </c>
      <c r="B82" t="s">
        <v>19</v>
      </c>
      <c r="C82" t="s">
        <v>13</v>
      </c>
      <c r="D82" t="s">
        <v>28</v>
      </c>
      <c r="E82">
        <v>114.25</v>
      </c>
      <c r="F82">
        <v>900</v>
      </c>
      <c r="G82">
        <v>900</v>
      </c>
      <c r="J82" t="s">
        <v>27</v>
      </c>
      <c r="K82" t="s">
        <v>31</v>
      </c>
      <c r="L82" t="s">
        <v>32</v>
      </c>
      <c r="M82" t="s">
        <v>58</v>
      </c>
      <c r="N82">
        <v>0</v>
      </c>
      <c r="P82">
        <v>700</v>
      </c>
      <c r="Q82">
        <v>1500</v>
      </c>
      <c r="R82" t="s">
        <v>33</v>
      </c>
      <c r="S82" t="s">
        <v>28</v>
      </c>
      <c r="T82">
        <v>72.25</v>
      </c>
      <c r="U82" t="str">
        <f>_xlfn.IFNA(_xlfn.IFS(E82&gt;Dash!$D$46, "Big", E82&lt;Dash!$D$49, "Small", E82&gt;Dash!$D$47, "Good"), "Norm")</f>
        <v>Small</v>
      </c>
      <c r="V82" t="s">
        <v>24</v>
      </c>
      <c r="W82">
        <v>145.5</v>
      </c>
      <c r="X82" t="s">
        <v>43</v>
      </c>
      <c r="Y82">
        <v>64.25</v>
      </c>
      <c r="Z82" t="str">
        <f>_xlfn.IFNA(_xlfn.IFS(Y82&gt;Dash!$E$46, "Big", Y82&lt;Dash!$E$49, "Small", Y82&gt;Dash!$E$47, "Good"), "Norm")</f>
        <v>Norm</v>
      </c>
      <c r="AA82">
        <v>52.5</v>
      </c>
      <c r="AB82" t="str">
        <f>_xlfn.IFNA(_xlfn.IFS(AA82&gt;Dash!$F$46, "Big", AA82&lt;Dash!$F$49, "Small", AA82&gt;Dash!$F$47, "Good"), "Norm")</f>
        <v>Small</v>
      </c>
      <c r="AC82">
        <v>63.5</v>
      </c>
      <c r="AD82" t="str">
        <f>_xlfn.IFNA(_xlfn.IFS(AC82&gt;Dash!$G$46, "Big", AC82&lt;Dash!$G$49, "Small", AC82&gt;Dash!$G$47, "Good"), "Norm")</f>
        <v>Small</v>
      </c>
      <c r="AE82">
        <v>74.25</v>
      </c>
      <c r="AF82" t="str">
        <f>_xlfn.IFNA(_xlfn.IFS(AE82&gt;Dash!$H$46, "Big", AE82&lt;Dash!$H$49, "Small", AE82&gt;Dash!$H$47, "Good"), "Norm")</f>
        <v>Small</v>
      </c>
      <c r="AG82">
        <v>10.25</v>
      </c>
      <c r="AH82" t="str">
        <f>_xlfn.IFNA(_xlfn.IFS(AG82&gt;Dash!$I$46, "Big", AG82&lt;Dash!$I$49, "Small", AG82&gt;Dash!$I$47, "Good"), "Norm")</f>
        <v>Small</v>
      </c>
    </row>
    <row r="83" spans="1:34" x14ac:dyDescent="0.25">
      <c r="A83" s="1">
        <v>45287</v>
      </c>
      <c r="B83" t="s">
        <v>18</v>
      </c>
      <c r="C83" t="s">
        <v>33</v>
      </c>
      <c r="D83" t="s">
        <v>28</v>
      </c>
      <c r="E83">
        <v>72.25</v>
      </c>
      <c r="F83">
        <v>900</v>
      </c>
      <c r="G83">
        <v>1000</v>
      </c>
      <c r="J83" t="s">
        <v>27</v>
      </c>
      <c r="K83" t="s">
        <v>25</v>
      </c>
      <c r="L83" t="s">
        <v>44</v>
      </c>
      <c r="M83" t="s">
        <v>58</v>
      </c>
      <c r="N83">
        <v>0</v>
      </c>
      <c r="P83">
        <v>1400</v>
      </c>
      <c r="Q83">
        <v>1600</v>
      </c>
      <c r="R83" t="s">
        <v>33</v>
      </c>
      <c r="S83" t="s">
        <v>43</v>
      </c>
      <c r="T83">
        <v>87.5</v>
      </c>
      <c r="U83" t="str">
        <f>_xlfn.IFNA(_xlfn.IFS(E83&gt;Dash!$D$46, "Big", E83&lt;Dash!$D$49, "Small", E83&gt;Dash!$D$47, "Good"), "Norm")</f>
        <v>Small</v>
      </c>
      <c r="V83" t="s">
        <v>13</v>
      </c>
      <c r="W83">
        <v>114.25</v>
      </c>
      <c r="X83" t="s">
        <v>28</v>
      </c>
      <c r="Y83">
        <v>28.75</v>
      </c>
      <c r="Z83" t="str">
        <f>_xlfn.IFNA(_xlfn.IFS(Y83&gt;Dash!$E$46, "Big", Y83&lt;Dash!$E$49, "Small", Y83&gt;Dash!$E$47, "Good"), "Norm")</f>
        <v>Small</v>
      </c>
      <c r="AA83">
        <v>28</v>
      </c>
      <c r="AB83" t="str">
        <f>_xlfn.IFNA(_xlfn.IFS(AA83&gt;Dash!$F$46, "Big", AA83&lt;Dash!$F$49, "Small", AA83&gt;Dash!$F$47, "Good"), "Norm")</f>
        <v>Small</v>
      </c>
      <c r="AC83">
        <v>69.25</v>
      </c>
      <c r="AD83" t="str">
        <f>_xlfn.IFNA(_xlfn.IFS(AC83&gt;Dash!$G$46, "Big", AC83&lt;Dash!$G$49, "Small", AC83&gt;Dash!$G$47, "Good"), "Norm")</f>
        <v>Small</v>
      </c>
      <c r="AE83">
        <v>67</v>
      </c>
      <c r="AF83" t="str">
        <f>_xlfn.IFNA(_xlfn.IFS(AE83&gt;Dash!$H$46, "Big", AE83&lt;Dash!$H$49, "Small", AE83&gt;Dash!$H$47, "Good"), "Norm")</f>
        <v>Small</v>
      </c>
      <c r="AG83">
        <v>23.75</v>
      </c>
      <c r="AH83" t="str">
        <f>_xlfn.IFNA(_xlfn.IFS(AG83&gt;Dash!$I$46, "Big", AG83&lt;Dash!$I$49, "Small", AG83&gt;Dash!$I$47, "Good"), "Norm")</f>
        <v>Norm</v>
      </c>
    </row>
    <row r="84" spans="1:34" x14ac:dyDescent="0.25">
      <c r="A84" s="1">
        <v>45288</v>
      </c>
      <c r="B84" t="s">
        <v>36</v>
      </c>
      <c r="C84" t="s">
        <v>33</v>
      </c>
      <c r="D84" t="s">
        <v>43</v>
      </c>
      <c r="E84">
        <v>87.5</v>
      </c>
      <c r="F84">
        <v>1900</v>
      </c>
      <c r="G84">
        <v>900</v>
      </c>
      <c r="J84" t="s">
        <v>29</v>
      </c>
      <c r="K84" t="s">
        <v>35</v>
      </c>
      <c r="L84" t="s">
        <v>17</v>
      </c>
      <c r="M84" t="s">
        <v>58</v>
      </c>
      <c r="N84">
        <v>0</v>
      </c>
      <c r="P84">
        <v>1300</v>
      </c>
      <c r="Q84">
        <v>1500</v>
      </c>
      <c r="R84" t="s">
        <v>41</v>
      </c>
      <c r="S84" t="s">
        <v>43</v>
      </c>
      <c r="T84">
        <v>169.25</v>
      </c>
      <c r="U84" t="str">
        <f>_xlfn.IFNA(_xlfn.IFS(E84&gt;Dash!$D$46, "Big", E84&lt;Dash!$D$49, "Small", E84&gt;Dash!$D$47, "Good"), "Norm")</f>
        <v>Small</v>
      </c>
      <c r="V84" t="s">
        <v>33</v>
      </c>
      <c r="W84">
        <v>72.25</v>
      </c>
      <c r="X84" t="s">
        <v>28</v>
      </c>
      <c r="Y84">
        <v>37.5</v>
      </c>
      <c r="Z84" t="str">
        <f>_xlfn.IFNA(_xlfn.IFS(Y84&gt;Dash!$E$46, "Big", Y84&lt;Dash!$E$49, "Small", Y84&gt;Dash!$E$47, "Good"), "Norm")</f>
        <v>Small</v>
      </c>
      <c r="AA84">
        <v>17.75</v>
      </c>
      <c r="AB84" t="str">
        <f>_xlfn.IFNA(_xlfn.IFS(AA84&gt;Dash!$F$46, "Big", AA84&lt;Dash!$F$49, "Small", AA84&gt;Dash!$F$47, "Good"), "Norm")</f>
        <v>Small</v>
      </c>
      <c r="AC84">
        <v>62.5</v>
      </c>
      <c r="AD84" t="str">
        <f>_xlfn.IFNA(_xlfn.IFS(AC84&gt;Dash!$G$46, "Big", AC84&lt;Dash!$G$49, "Small", AC84&gt;Dash!$G$47, "Good"), "Norm")</f>
        <v>Small</v>
      </c>
      <c r="AE84">
        <v>59.75</v>
      </c>
      <c r="AF84" t="str">
        <f>_xlfn.IFNA(_xlfn.IFS(AE84&gt;Dash!$H$46, "Big", AE84&lt;Dash!$H$49, "Small", AE84&gt;Dash!$H$47, "Good"), "Norm")</f>
        <v>Small</v>
      </c>
      <c r="AG84">
        <v>16.25</v>
      </c>
      <c r="AH84" t="str">
        <f>_xlfn.IFNA(_xlfn.IFS(AG84&gt;Dash!$I$46, "Big", AG84&lt;Dash!$I$49, "Small", AG84&gt;Dash!$I$47, "Good"), "Norm")</f>
        <v>Small</v>
      </c>
    </row>
    <row r="85" spans="1:34" x14ac:dyDescent="0.25">
      <c r="A85" s="1">
        <v>45289</v>
      </c>
      <c r="B85" t="s">
        <v>26</v>
      </c>
      <c r="C85" t="s">
        <v>41</v>
      </c>
      <c r="D85" t="s">
        <v>43</v>
      </c>
      <c r="E85">
        <v>169.25</v>
      </c>
      <c r="F85">
        <v>700</v>
      </c>
      <c r="G85">
        <v>700</v>
      </c>
      <c r="J85" t="s">
        <v>45</v>
      </c>
      <c r="K85" t="s">
        <v>22</v>
      </c>
      <c r="L85" t="s">
        <v>25</v>
      </c>
      <c r="M85" t="s">
        <v>58</v>
      </c>
      <c r="N85">
        <v>0</v>
      </c>
      <c r="P85">
        <v>1500</v>
      </c>
      <c r="Q85">
        <v>1500</v>
      </c>
      <c r="R85" t="s">
        <v>13</v>
      </c>
      <c r="S85" t="s">
        <v>14</v>
      </c>
      <c r="T85">
        <v>255.25</v>
      </c>
      <c r="U85" t="str">
        <f>_xlfn.IFNA(_xlfn.IFS(E85&gt;Dash!$D$46, "Big", E85&lt;Dash!$D$49, "Small", E85&gt;Dash!$D$47, "Good"), "Norm")</f>
        <v>Norm</v>
      </c>
      <c r="V85" t="s">
        <v>33</v>
      </c>
      <c r="W85">
        <v>87.5</v>
      </c>
      <c r="X85" t="s">
        <v>43</v>
      </c>
      <c r="Y85">
        <v>27.5</v>
      </c>
      <c r="Z85" t="str">
        <f>_xlfn.IFNA(_xlfn.IFS(Y85&gt;Dash!$E$46, "Big", Y85&lt;Dash!$E$49, "Small", Y85&gt;Dash!$E$47, "Good"), "Norm")</f>
        <v>Small</v>
      </c>
      <c r="AA85">
        <v>55.25</v>
      </c>
      <c r="AB85" t="str">
        <f>_xlfn.IFNA(_xlfn.IFS(AA85&gt;Dash!$F$46, "Big", AA85&lt;Dash!$F$49, "Small", AA85&gt;Dash!$F$47, "Good"), "Norm")</f>
        <v>Small</v>
      </c>
      <c r="AC85">
        <v>169.25</v>
      </c>
      <c r="AD85" t="str">
        <f>_xlfn.IFNA(_xlfn.IFS(AC85&gt;Dash!$G$46, "Big", AC85&lt;Dash!$G$49, "Small", AC85&gt;Dash!$G$47, "Good"), "Norm")</f>
        <v>Norm</v>
      </c>
      <c r="AE85">
        <v>106.5</v>
      </c>
      <c r="AF85" t="str">
        <f>_xlfn.IFNA(_xlfn.IFS(AE85&gt;Dash!$H$46, "Big", AE85&lt;Dash!$H$49, "Small", AE85&gt;Dash!$H$47, "Good"), "Norm")</f>
        <v>Norm</v>
      </c>
      <c r="AG85">
        <v>19.5</v>
      </c>
      <c r="AH85" t="str">
        <f>_xlfn.IFNA(_xlfn.IFS(AG85&gt;Dash!$I$46, "Big", AG85&lt;Dash!$I$49, "Small", AG85&gt;Dash!$I$47, "Good"), "Norm")</f>
        <v>Small</v>
      </c>
    </row>
    <row r="86" spans="1:34" x14ac:dyDescent="0.25">
      <c r="A86" s="1">
        <v>45293</v>
      </c>
      <c r="B86" t="s">
        <v>19</v>
      </c>
      <c r="C86" t="s">
        <v>13</v>
      </c>
      <c r="D86" t="s">
        <v>14</v>
      </c>
      <c r="E86">
        <v>255.25</v>
      </c>
      <c r="F86">
        <v>600</v>
      </c>
      <c r="J86" t="s">
        <v>15</v>
      </c>
      <c r="K86" t="s">
        <v>16</v>
      </c>
      <c r="L86" t="s">
        <v>17</v>
      </c>
      <c r="M86" t="s">
        <v>18</v>
      </c>
      <c r="N86">
        <v>8</v>
      </c>
      <c r="R86" t="s">
        <v>13</v>
      </c>
      <c r="S86" t="s">
        <v>14</v>
      </c>
      <c r="T86">
        <v>131.5</v>
      </c>
      <c r="U86" t="str">
        <f>_xlfn.IFNA(_xlfn.IFS(E86&gt;Dash!$D$46, "Big", E86&lt;Dash!$D$49, "Small", E86&gt;Dash!$D$47, "Good"), "Norm")</f>
        <v>Good</v>
      </c>
      <c r="V86" t="s">
        <v>41</v>
      </c>
      <c r="W86">
        <v>169.25</v>
      </c>
      <c r="X86" t="s">
        <v>43</v>
      </c>
      <c r="Y86">
        <v>37.5</v>
      </c>
      <c r="Z86" t="str">
        <f>_xlfn.IFNA(_xlfn.IFS(Y86&gt;Dash!$E$46, "Big", Y86&lt;Dash!$E$49, "Small", Y86&gt;Dash!$E$47, "Good"), "Norm")</f>
        <v>Small</v>
      </c>
      <c r="AA86">
        <v>219.75</v>
      </c>
      <c r="AB86" t="str">
        <f>_xlfn.IFNA(_xlfn.IFS(AA86&gt;Dash!$F$46, "Big", AA86&lt;Dash!$F$49, "Small", AA86&gt;Dash!$F$47, "Good"), "Norm")</f>
        <v>Big</v>
      </c>
      <c r="AC86">
        <v>192.75</v>
      </c>
      <c r="AD86" t="str">
        <f>_xlfn.IFNA(_xlfn.IFS(AC86&gt;Dash!$G$46, "Big", AC86&lt;Dash!$G$49, "Small", AC86&gt;Dash!$G$47, "Good"), "Norm")</f>
        <v>Norm</v>
      </c>
      <c r="AE86">
        <v>165.25</v>
      </c>
      <c r="AF86" t="str">
        <f>_xlfn.IFNA(_xlfn.IFS(AE86&gt;Dash!$H$46, "Big", AE86&lt;Dash!$H$49, "Small", AE86&gt;Dash!$H$47, "Good"), "Norm")</f>
        <v>Good</v>
      </c>
      <c r="AG86">
        <v>22.5</v>
      </c>
      <c r="AH86" t="str">
        <f>_xlfn.IFNA(_xlfn.IFS(AG86&gt;Dash!$I$46, "Big", AG86&lt;Dash!$I$49, "Small", AG86&gt;Dash!$I$47, "Good"), "Norm")</f>
        <v>Norm</v>
      </c>
    </row>
    <row r="87" spans="1:34" x14ac:dyDescent="0.25">
      <c r="A87" s="1">
        <v>45294</v>
      </c>
      <c r="B87" t="s">
        <v>18</v>
      </c>
      <c r="C87" t="s">
        <v>13</v>
      </c>
      <c r="D87" t="s">
        <v>14</v>
      </c>
      <c r="E87">
        <v>131.5</v>
      </c>
      <c r="F87">
        <v>700</v>
      </c>
      <c r="J87" t="s">
        <v>30</v>
      </c>
      <c r="K87" t="s">
        <v>16</v>
      </c>
      <c r="L87" t="s">
        <v>17</v>
      </c>
      <c r="M87" t="s">
        <v>18</v>
      </c>
      <c r="N87">
        <v>8</v>
      </c>
      <c r="R87" t="s">
        <v>20</v>
      </c>
      <c r="S87" t="s">
        <v>14</v>
      </c>
      <c r="T87">
        <v>147.75</v>
      </c>
      <c r="U87" t="str">
        <f>_xlfn.IFNA(_xlfn.IFS(E87&gt;Dash!$D$46, "Big", E87&lt;Dash!$D$49, "Small", E87&gt;Dash!$D$47, "Good"), "Norm")</f>
        <v>Small</v>
      </c>
      <c r="V87" t="s">
        <v>13</v>
      </c>
      <c r="W87">
        <v>255.25</v>
      </c>
      <c r="X87" t="s">
        <v>14</v>
      </c>
      <c r="Y87">
        <v>48.25</v>
      </c>
      <c r="Z87" t="str">
        <f>_xlfn.IFNA(_xlfn.IFS(Y87&gt;Dash!$E$46, "Big", Y87&lt;Dash!$E$49, "Small", Y87&gt;Dash!$E$47, "Good"), "Norm")</f>
        <v>Norm</v>
      </c>
      <c r="AA87">
        <v>126.75</v>
      </c>
      <c r="AB87" t="str">
        <f>_xlfn.IFNA(_xlfn.IFS(AA87&gt;Dash!$F$46, "Big", AA87&lt;Dash!$F$49, "Small", AA87&gt;Dash!$F$47, "Good"), "Norm")</f>
        <v>Good</v>
      </c>
      <c r="AC87">
        <v>109.5</v>
      </c>
      <c r="AD87" t="str">
        <f>_xlfn.IFNA(_xlfn.IFS(AC87&gt;Dash!$G$46, "Big", AC87&lt;Dash!$G$49, "Small", AC87&gt;Dash!$G$47, "Good"), "Norm")</f>
        <v>Small</v>
      </c>
      <c r="AE87">
        <v>106.75</v>
      </c>
      <c r="AF87" t="str">
        <f>_xlfn.IFNA(_xlfn.IFS(AE87&gt;Dash!$H$46, "Big", AE87&lt;Dash!$H$49, "Small", AE87&gt;Dash!$H$47, "Good"), "Norm")</f>
        <v>Norm</v>
      </c>
      <c r="AG87">
        <v>15.75</v>
      </c>
      <c r="AH87" t="str">
        <f>_xlfn.IFNA(_xlfn.IFS(AG87&gt;Dash!$I$46, "Big", AG87&lt;Dash!$I$49, "Small", AG87&gt;Dash!$I$47, "Good"), "Norm")</f>
        <v>Small</v>
      </c>
    </row>
    <row r="88" spans="1:34" x14ac:dyDescent="0.25">
      <c r="A88" s="1">
        <v>45295</v>
      </c>
      <c r="B88" t="s">
        <v>36</v>
      </c>
      <c r="C88" t="s">
        <v>20</v>
      </c>
      <c r="D88" t="s">
        <v>14</v>
      </c>
      <c r="E88">
        <v>147.75</v>
      </c>
      <c r="F88">
        <v>700</v>
      </c>
      <c r="J88" t="s">
        <v>15</v>
      </c>
      <c r="K88" t="s">
        <v>22</v>
      </c>
      <c r="L88" t="s">
        <v>17</v>
      </c>
      <c r="M88" t="s">
        <v>18</v>
      </c>
      <c r="N88">
        <v>8</v>
      </c>
      <c r="R88" t="s">
        <v>33</v>
      </c>
      <c r="S88" t="s">
        <v>46</v>
      </c>
      <c r="T88">
        <v>243</v>
      </c>
      <c r="U88" t="str">
        <f>_xlfn.IFNA(_xlfn.IFS(E88&gt;Dash!$D$46, "Big", E88&lt;Dash!$D$49, "Small", E88&gt;Dash!$D$47, "Good"), "Norm")</f>
        <v>Small</v>
      </c>
      <c r="V88" t="s">
        <v>13</v>
      </c>
      <c r="W88">
        <v>131.5</v>
      </c>
      <c r="X88" t="s">
        <v>14</v>
      </c>
      <c r="Y88">
        <v>37.5</v>
      </c>
      <c r="Z88" t="str">
        <f>_xlfn.IFNA(_xlfn.IFS(Y88&gt;Dash!$E$46, "Big", Y88&lt;Dash!$E$49, "Small", Y88&gt;Dash!$E$47, "Good"), "Norm")</f>
        <v>Small</v>
      </c>
      <c r="AA88">
        <v>82.75</v>
      </c>
      <c r="AB88" t="str">
        <f>_xlfn.IFNA(_xlfn.IFS(AA88&gt;Dash!$F$46, "Big", AA88&lt;Dash!$F$49, "Small", AA88&gt;Dash!$F$47, "Good"), "Norm")</f>
        <v>Norm</v>
      </c>
      <c r="AC88">
        <v>140.5</v>
      </c>
      <c r="AD88" t="str">
        <f>_xlfn.IFNA(_xlfn.IFS(AC88&gt;Dash!$G$46, "Big", AC88&lt;Dash!$G$49, "Small", AC88&gt;Dash!$G$47, "Good"), "Norm")</f>
        <v>Norm</v>
      </c>
      <c r="AE88">
        <v>93</v>
      </c>
      <c r="AF88" t="str">
        <f>_xlfn.IFNA(_xlfn.IFS(AE88&gt;Dash!$H$46, "Big", AE88&lt;Dash!$H$49, "Small", AE88&gt;Dash!$H$47, "Good"), "Norm")</f>
        <v>Norm</v>
      </c>
      <c r="AG88">
        <v>20.75</v>
      </c>
      <c r="AH88" t="str">
        <f>_xlfn.IFNA(_xlfn.IFS(AG88&gt;Dash!$I$46, "Big", AG88&lt;Dash!$I$49, "Small", AG88&gt;Dash!$I$47, "Good"), "Norm")</f>
        <v>Small</v>
      </c>
    </row>
    <row r="89" spans="1:34" x14ac:dyDescent="0.25">
      <c r="A89" s="1">
        <v>45296</v>
      </c>
      <c r="B89" t="s">
        <v>26</v>
      </c>
      <c r="C89" t="s">
        <v>33</v>
      </c>
      <c r="D89" t="s">
        <v>46</v>
      </c>
      <c r="E89">
        <v>243</v>
      </c>
      <c r="F89" t="s">
        <v>163</v>
      </c>
      <c r="G89">
        <v>900</v>
      </c>
      <c r="J89" t="s">
        <v>37</v>
      </c>
      <c r="K89" t="s">
        <v>25</v>
      </c>
      <c r="L89" t="s">
        <v>35</v>
      </c>
      <c r="M89" t="s">
        <v>18</v>
      </c>
      <c r="N89">
        <v>8</v>
      </c>
      <c r="R89" t="s">
        <v>20</v>
      </c>
      <c r="S89" t="s">
        <v>28</v>
      </c>
      <c r="T89">
        <v>341.75</v>
      </c>
      <c r="U89" t="str">
        <f>_xlfn.IFNA(_xlfn.IFS(E89&gt;Dash!$D$46, "Big", E89&lt;Dash!$D$49, "Small", E89&gt;Dash!$D$47, "Good"), "Norm")</f>
        <v>Norm</v>
      </c>
      <c r="V89" t="s">
        <v>20</v>
      </c>
      <c r="W89">
        <v>147.75</v>
      </c>
      <c r="X89" t="s">
        <v>14</v>
      </c>
      <c r="Y89">
        <v>67.75</v>
      </c>
      <c r="Z89" t="str">
        <f>_xlfn.IFNA(_xlfn.IFS(Y89&gt;Dash!$E$46, "Big", Y89&lt;Dash!$E$49, "Small", Y89&gt;Dash!$E$47, "Good"), "Norm")</f>
        <v>Norm</v>
      </c>
      <c r="AA89">
        <v>71.25</v>
      </c>
      <c r="AB89" t="str">
        <f>_xlfn.IFNA(_xlfn.IFS(AA89&gt;Dash!$F$46, "Big", AA89&lt;Dash!$F$49, "Small", AA89&gt;Dash!$F$47, "Good"), "Norm")</f>
        <v>Norm</v>
      </c>
      <c r="AC89">
        <v>243</v>
      </c>
      <c r="AD89" t="str">
        <f>_xlfn.IFNA(_xlfn.IFS(AC89&gt;Dash!$G$46, "Big", AC89&lt;Dash!$G$49, "Small", AC89&gt;Dash!$G$47, "Good"), "Norm")</f>
        <v>Good</v>
      </c>
      <c r="AE89">
        <v>115.25</v>
      </c>
      <c r="AF89" t="str">
        <f>_xlfn.IFNA(_xlfn.IFS(AE89&gt;Dash!$H$46, "Big", AE89&lt;Dash!$H$49, "Small", AE89&gt;Dash!$H$47, "Good"), "Norm")</f>
        <v>Norm</v>
      </c>
      <c r="AG89">
        <v>12.75</v>
      </c>
      <c r="AH89" t="str">
        <f>_xlfn.IFNA(_xlfn.IFS(AG89&gt;Dash!$I$46, "Big", AG89&lt;Dash!$I$49, "Small", AG89&gt;Dash!$I$47, "Good"), "Norm")</f>
        <v>Small</v>
      </c>
    </row>
    <row r="90" spans="1:34" x14ac:dyDescent="0.25">
      <c r="A90" s="1">
        <v>45299</v>
      </c>
      <c r="B90" t="s">
        <v>23</v>
      </c>
      <c r="C90" t="s">
        <v>20</v>
      </c>
      <c r="D90" t="s">
        <v>28</v>
      </c>
      <c r="E90">
        <v>341.75</v>
      </c>
      <c r="F90">
        <v>900</v>
      </c>
      <c r="J90" t="s">
        <v>27</v>
      </c>
      <c r="K90" t="s">
        <v>39</v>
      </c>
      <c r="L90" t="s">
        <v>32</v>
      </c>
      <c r="M90" t="s">
        <v>36</v>
      </c>
      <c r="N90">
        <v>6</v>
      </c>
      <c r="R90" t="s">
        <v>33</v>
      </c>
      <c r="S90" t="s">
        <v>28</v>
      </c>
      <c r="T90">
        <v>210.75</v>
      </c>
      <c r="U90" t="str">
        <f>_xlfn.IFNA(_xlfn.IFS(E90&gt;Dash!$D$46, "Big", E90&lt;Dash!$D$49, "Small", E90&gt;Dash!$D$47, "Good"), "Norm")</f>
        <v>Good</v>
      </c>
      <c r="V90" t="s">
        <v>33</v>
      </c>
      <c r="W90">
        <v>243</v>
      </c>
      <c r="X90" t="s">
        <v>46</v>
      </c>
      <c r="Y90">
        <v>68.25</v>
      </c>
      <c r="Z90" t="str">
        <f>_xlfn.IFNA(_xlfn.IFS(Y90&gt;Dash!$E$46, "Big", Y90&lt;Dash!$E$49, "Small", Y90&gt;Dash!$E$47, "Good"), "Norm")</f>
        <v>Norm</v>
      </c>
      <c r="AA90">
        <v>108</v>
      </c>
      <c r="AB90" t="str">
        <f>_xlfn.IFNA(_xlfn.IFS(AA90&gt;Dash!$F$46, "Big", AA90&lt;Dash!$F$49, "Small", AA90&gt;Dash!$F$47, "Good"), "Norm")</f>
        <v>Good</v>
      </c>
      <c r="AC90">
        <v>209.75</v>
      </c>
      <c r="AD90" t="str">
        <f>_xlfn.IFNA(_xlfn.IFS(AC90&gt;Dash!$G$46, "Big", AC90&lt;Dash!$G$49, "Small", AC90&gt;Dash!$G$47, "Good"), "Norm")</f>
        <v>Good</v>
      </c>
      <c r="AE90">
        <v>136.75</v>
      </c>
      <c r="AF90" t="str">
        <f>_xlfn.IFNA(_xlfn.IFS(AE90&gt;Dash!$H$46, "Big", AE90&lt;Dash!$H$49, "Small", AE90&gt;Dash!$H$47, "Good"), "Norm")</f>
        <v>Norm</v>
      </c>
      <c r="AG90">
        <v>19.25</v>
      </c>
      <c r="AH90" t="str">
        <f>_xlfn.IFNA(_xlfn.IFS(AG90&gt;Dash!$I$46, "Big", AG90&lt;Dash!$I$49, "Small", AG90&gt;Dash!$I$47, "Good"), "Norm")</f>
        <v>Small</v>
      </c>
    </row>
    <row r="91" spans="1:34" x14ac:dyDescent="0.25">
      <c r="A91" s="1">
        <v>45300</v>
      </c>
      <c r="B91" t="s">
        <v>19</v>
      </c>
      <c r="C91" t="s">
        <v>33</v>
      </c>
      <c r="D91" t="s">
        <v>28</v>
      </c>
      <c r="E91">
        <v>210.75</v>
      </c>
      <c r="F91">
        <v>1100</v>
      </c>
      <c r="J91" t="s">
        <v>27</v>
      </c>
      <c r="K91" t="s">
        <v>25</v>
      </c>
      <c r="L91" t="s">
        <v>32</v>
      </c>
      <c r="M91" t="s">
        <v>36</v>
      </c>
      <c r="N91">
        <v>6</v>
      </c>
      <c r="R91" t="s">
        <v>33</v>
      </c>
      <c r="S91" t="s">
        <v>28</v>
      </c>
      <c r="T91">
        <v>181.5</v>
      </c>
      <c r="U91" t="str">
        <f>_xlfn.IFNA(_xlfn.IFS(E91&gt;Dash!$D$46, "Big", E91&lt;Dash!$D$49, "Small", E91&gt;Dash!$D$47, "Good"), "Norm")</f>
        <v>Norm</v>
      </c>
      <c r="V91" t="s">
        <v>20</v>
      </c>
      <c r="W91">
        <v>341.75</v>
      </c>
      <c r="X91" t="s">
        <v>28</v>
      </c>
      <c r="Y91">
        <v>23.5</v>
      </c>
      <c r="Z91" t="str">
        <f>_xlfn.IFNA(_xlfn.IFS(Y91&gt;Dash!$E$46, "Big", Y91&lt;Dash!$E$49, "Small", Y91&gt;Dash!$E$47, "Good"), "Norm")</f>
        <v>Small</v>
      </c>
      <c r="AA91">
        <v>101</v>
      </c>
      <c r="AB91" t="str">
        <f>_xlfn.IFNA(_xlfn.IFS(AA91&gt;Dash!$F$46, "Big", AA91&lt;Dash!$F$49, "Small", AA91&gt;Dash!$F$47, "Good"), "Norm")</f>
        <v>Good</v>
      </c>
      <c r="AC91">
        <v>175.75</v>
      </c>
      <c r="AD91" t="str">
        <f>_xlfn.IFNA(_xlfn.IFS(AC91&gt;Dash!$G$46, "Big", AC91&lt;Dash!$G$49, "Small", AC91&gt;Dash!$G$47, "Good"), "Norm")</f>
        <v>Norm</v>
      </c>
      <c r="AE91">
        <v>92</v>
      </c>
      <c r="AF91" t="str">
        <f>_xlfn.IFNA(_xlfn.IFS(AE91&gt;Dash!$H$46, "Big", AE91&lt;Dash!$H$49, "Small", AE91&gt;Dash!$H$47, "Good"), "Norm")</f>
        <v>Small</v>
      </c>
      <c r="AG91">
        <v>12</v>
      </c>
      <c r="AH91" t="str">
        <f>_xlfn.IFNA(_xlfn.IFS(AG91&gt;Dash!$I$46, "Big", AG91&lt;Dash!$I$49, "Small", AG91&gt;Dash!$I$47, "Good"), "Norm")</f>
        <v>Small</v>
      </c>
    </row>
    <row r="92" spans="1:34" x14ac:dyDescent="0.25">
      <c r="A92" s="1">
        <v>45301</v>
      </c>
      <c r="B92" t="s">
        <v>18</v>
      </c>
      <c r="C92" t="s">
        <v>33</v>
      </c>
      <c r="D92" t="s">
        <v>28</v>
      </c>
      <c r="E92">
        <v>181.5</v>
      </c>
      <c r="F92">
        <v>1400</v>
      </c>
      <c r="J92" t="s">
        <v>30</v>
      </c>
      <c r="K92" t="s">
        <v>25</v>
      </c>
      <c r="L92" t="s">
        <v>32</v>
      </c>
      <c r="M92" t="s">
        <v>36</v>
      </c>
      <c r="N92">
        <v>6</v>
      </c>
      <c r="R92" t="s">
        <v>33</v>
      </c>
      <c r="S92" t="s">
        <v>38</v>
      </c>
      <c r="T92">
        <v>304</v>
      </c>
      <c r="U92" t="str">
        <f>_xlfn.IFNA(_xlfn.IFS(E92&gt;Dash!$D$46, "Big", E92&lt;Dash!$D$49, "Small", E92&gt;Dash!$D$47, "Good"), "Norm")</f>
        <v>Norm</v>
      </c>
      <c r="V92" t="s">
        <v>33</v>
      </c>
      <c r="W92">
        <v>210.75</v>
      </c>
      <c r="X92" t="s">
        <v>28</v>
      </c>
      <c r="Y92">
        <v>44.5</v>
      </c>
      <c r="Z92" t="str">
        <f>_xlfn.IFNA(_xlfn.IFS(Y92&gt;Dash!$E$46, "Big", Y92&lt;Dash!$E$49, "Small", Y92&gt;Dash!$E$47, "Good"), "Norm")</f>
        <v>Norm</v>
      </c>
      <c r="AA92">
        <v>96</v>
      </c>
      <c r="AB92" t="str">
        <f>_xlfn.IFNA(_xlfn.IFS(AA92&gt;Dash!$F$46, "Big", AA92&lt;Dash!$F$49, "Small", AA92&gt;Dash!$F$47, "Good"), "Norm")</f>
        <v>Norm</v>
      </c>
      <c r="AC92">
        <v>96</v>
      </c>
      <c r="AD92" t="str">
        <f>_xlfn.IFNA(_xlfn.IFS(AC92&gt;Dash!$G$46, "Big", AC92&lt;Dash!$G$49, "Small", AC92&gt;Dash!$G$47, "Good"), "Norm")</f>
        <v>Small</v>
      </c>
      <c r="AE92">
        <v>113.75</v>
      </c>
      <c r="AF92" t="str">
        <f>_xlfn.IFNA(_xlfn.IFS(AE92&gt;Dash!$H$46, "Big", AE92&lt;Dash!$H$49, "Small", AE92&gt;Dash!$H$47, "Good"), "Norm")</f>
        <v>Norm</v>
      </c>
      <c r="AG92">
        <v>19.25</v>
      </c>
      <c r="AH92" t="str">
        <f>_xlfn.IFNA(_xlfn.IFS(AG92&gt;Dash!$I$46, "Big", AG92&lt;Dash!$I$49, "Small", AG92&gt;Dash!$I$47, "Good"), "Norm")</f>
        <v>Small</v>
      </c>
    </row>
    <row r="93" spans="1:34" x14ac:dyDescent="0.25">
      <c r="A93" s="1">
        <v>45302</v>
      </c>
      <c r="B93" t="s">
        <v>36</v>
      </c>
      <c r="C93" t="s">
        <v>33</v>
      </c>
      <c r="D93" t="s">
        <v>38</v>
      </c>
      <c r="E93">
        <v>304</v>
      </c>
      <c r="F93">
        <v>1900</v>
      </c>
      <c r="G93">
        <v>800</v>
      </c>
      <c r="H93">
        <v>1100</v>
      </c>
      <c r="J93" t="s">
        <v>29</v>
      </c>
      <c r="K93" t="s">
        <v>35</v>
      </c>
      <c r="L93" t="s">
        <v>25</v>
      </c>
      <c r="M93" t="s">
        <v>36</v>
      </c>
      <c r="N93">
        <v>6</v>
      </c>
      <c r="R93" t="s">
        <v>41</v>
      </c>
      <c r="S93">
        <v>1</v>
      </c>
      <c r="T93">
        <v>147.25</v>
      </c>
      <c r="U93" t="str">
        <f>_xlfn.IFNA(_xlfn.IFS(E93&gt;Dash!$D$46, "Big", E93&lt;Dash!$D$49, "Small", E93&gt;Dash!$D$47, "Good"), "Norm")</f>
        <v>Good</v>
      </c>
      <c r="V93" t="s">
        <v>33</v>
      </c>
      <c r="W93">
        <v>181.5</v>
      </c>
      <c r="X93" t="s">
        <v>28</v>
      </c>
      <c r="Y93">
        <v>69.5</v>
      </c>
      <c r="Z93" t="str">
        <f>_xlfn.IFNA(_xlfn.IFS(Y93&gt;Dash!$E$46, "Big", Y93&lt;Dash!$E$49, "Small", Y93&gt;Dash!$E$47, "Good"), "Norm")</f>
        <v>Norm</v>
      </c>
      <c r="AA93">
        <v>55.5</v>
      </c>
      <c r="AB93" t="str">
        <f>_xlfn.IFNA(_xlfn.IFS(AA93&gt;Dash!$F$46, "Big", AA93&lt;Dash!$F$49, "Small", AA93&gt;Dash!$F$47, "Good"), "Norm")</f>
        <v>Small</v>
      </c>
      <c r="AC93">
        <v>304</v>
      </c>
      <c r="AD93" t="str">
        <f>_xlfn.IFNA(_xlfn.IFS(AC93&gt;Dash!$G$46, "Big", AC93&lt;Dash!$G$49, "Small", AC93&gt;Dash!$G$47, "Good"), "Norm")</f>
        <v>Good</v>
      </c>
      <c r="AE93">
        <v>212.25</v>
      </c>
      <c r="AF93" t="str">
        <f>_xlfn.IFNA(_xlfn.IFS(AE93&gt;Dash!$H$46, "Big", AE93&lt;Dash!$H$49, "Small", AE93&gt;Dash!$H$47, "Good"), "Norm")</f>
        <v>Good</v>
      </c>
      <c r="AG93">
        <v>13.25</v>
      </c>
      <c r="AH93" t="str">
        <f>_xlfn.IFNA(_xlfn.IFS(AG93&gt;Dash!$I$46, "Big", AG93&lt;Dash!$I$49, "Small", AG93&gt;Dash!$I$47, "Good"), "Norm")</f>
        <v>Small</v>
      </c>
    </row>
    <row r="94" spans="1:34" x14ac:dyDescent="0.25">
      <c r="A94" s="1">
        <v>45303</v>
      </c>
      <c r="B94" t="s">
        <v>26</v>
      </c>
      <c r="C94" t="s">
        <v>41</v>
      </c>
      <c r="D94">
        <v>1</v>
      </c>
      <c r="E94">
        <v>147.25</v>
      </c>
      <c r="J94" t="s">
        <v>34</v>
      </c>
      <c r="K94" t="s">
        <v>39</v>
      </c>
      <c r="L94" t="s">
        <v>35</v>
      </c>
      <c r="M94" t="s">
        <v>36</v>
      </c>
      <c r="N94">
        <v>6</v>
      </c>
      <c r="R94" t="s">
        <v>41</v>
      </c>
      <c r="S94" t="s">
        <v>46</v>
      </c>
      <c r="T94">
        <v>178.75</v>
      </c>
      <c r="U94" t="str">
        <f>_xlfn.IFNA(_xlfn.IFS(E94&gt;Dash!$D$46, "Big", E94&lt;Dash!$D$49, "Small", E94&gt;Dash!$D$47, "Good"), "Norm")</f>
        <v>Small</v>
      </c>
      <c r="V94" t="s">
        <v>33</v>
      </c>
      <c r="W94">
        <v>304</v>
      </c>
      <c r="X94" t="s">
        <v>38</v>
      </c>
      <c r="Y94">
        <v>45</v>
      </c>
      <c r="Z94" t="str">
        <f>_xlfn.IFNA(_xlfn.IFS(Y94&gt;Dash!$E$46, "Big", Y94&lt;Dash!$E$49, "Small", Y94&gt;Dash!$E$47, "Good"), "Norm")</f>
        <v>Norm</v>
      </c>
      <c r="AA94">
        <v>111.25</v>
      </c>
      <c r="AB94" t="str">
        <f>_xlfn.IFNA(_xlfn.IFS(AA94&gt;Dash!$F$46, "Big", AA94&lt;Dash!$F$49, "Small", AA94&gt;Dash!$F$47, "Good"), "Norm")</f>
        <v>Good</v>
      </c>
      <c r="AC94">
        <v>147.25</v>
      </c>
      <c r="AD94" t="str">
        <f>_xlfn.IFNA(_xlfn.IFS(AC94&gt;Dash!$G$46, "Big", AC94&lt;Dash!$G$49, "Small", AC94&gt;Dash!$G$47, "Good"), "Norm")</f>
        <v>Norm</v>
      </c>
      <c r="AE94">
        <v>76.75</v>
      </c>
      <c r="AF94" t="str">
        <f>_xlfn.IFNA(_xlfn.IFS(AE94&gt;Dash!$H$46, "Big", AE94&lt;Dash!$H$49, "Small", AE94&gt;Dash!$H$47, "Good"), "Norm")</f>
        <v>Small</v>
      </c>
      <c r="AG94">
        <v>25.5</v>
      </c>
      <c r="AH94" t="str">
        <f>_xlfn.IFNA(_xlfn.IFS(AG94&gt;Dash!$I$46, "Big", AG94&lt;Dash!$I$49, "Small", AG94&gt;Dash!$I$47, "Good"), "Norm")</f>
        <v>Norm</v>
      </c>
    </row>
    <row r="95" spans="1:34" x14ac:dyDescent="0.25">
      <c r="A95" s="1">
        <v>45307</v>
      </c>
      <c r="B95" t="s">
        <v>19</v>
      </c>
      <c r="C95" t="s">
        <v>41</v>
      </c>
      <c r="D95" t="s">
        <v>46</v>
      </c>
      <c r="E95">
        <v>178.75</v>
      </c>
      <c r="F95">
        <v>100</v>
      </c>
      <c r="G95">
        <v>1000</v>
      </c>
      <c r="J95" t="s">
        <v>37</v>
      </c>
      <c r="K95" t="s">
        <v>39</v>
      </c>
      <c r="L95" t="s">
        <v>35</v>
      </c>
      <c r="M95" t="s">
        <v>18</v>
      </c>
      <c r="N95">
        <v>5</v>
      </c>
      <c r="R95" t="s">
        <v>24</v>
      </c>
      <c r="S95" t="s">
        <v>46</v>
      </c>
      <c r="T95">
        <v>201.25</v>
      </c>
      <c r="U95" t="str">
        <f>_xlfn.IFNA(_xlfn.IFS(E95&gt;Dash!$D$46, "Big", E95&lt;Dash!$D$49, "Small", E95&gt;Dash!$D$47, "Good"), "Norm")</f>
        <v>Norm</v>
      </c>
      <c r="V95" t="s">
        <v>41</v>
      </c>
      <c r="W95">
        <v>147.25</v>
      </c>
      <c r="X95">
        <v>1</v>
      </c>
      <c r="Y95">
        <v>99</v>
      </c>
      <c r="Z95" t="str">
        <f>_xlfn.IFNA(_xlfn.IFS(Y95&gt;Dash!$E$46, "Big", Y95&lt;Dash!$E$49, "Small", Y95&gt;Dash!$E$47, "Good"), "Norm")</f>
        <v>Good</v>
      </c>
      <c r="AA95">
        <v>105</v>
      </c>
      <c r="AB95" t="str">
        <f>_xlfn.IFNA(_xlfn.IFS(AA95&gt;Dash!$F$46, "Big", AA95&lt;Dash!$F$49, "Small", AA95&gt;Dash!$F$47, "Good"), "Norm")</f>
        <v>Good</v>
      </c>
      <c r="AC95">
        <v>178.75</v>
      </c>
      <c r="AD95" t="str">
        <f>_xlfn.IFNA(_xlfn.IFS(AC95&gt;Dash!$G$46, "Big", AC95&lt;Dash!$G$49, "Small", AC95&gt;Dash!$G$47, "Good"), "Norm")</f>
        <v>Norm</v>
      </c>
      <c r="AE95">
        <v>107.75</v>
      </c>
      <c r="AF95" t="str">
        <f>_xlfn.IFNA(_xlfn.IFS(AE95&gt;Dash!$H$46, "Big", AE95&lt;Dash!$H$49, "Small", AE95&gt;Dash!$H$47, "Good"), "Norm")</f>
        <v>Norm</v>
      </c>
      <c r="AG95">
        <v>20.25</v>
      </c>
      <c r="AH95" t="str">
        <f>_xlfn.IFNA(_xlfn.IFS(AG95&gt;Dash!$I$46, "Big", AG95&lt;Dash!$I$49, "Small", AG95&gt;Dash!$I$47, "Good"), "Norm")</f>
        <v>Small</v>
      </c>
    </row>
    <row r="96" spans="1:34" x14ac:dyDescent="0.25">
      <c r="A96" s="1">
        <v>45308</v>
      </c>
      <c r="B96" t="s">
        <v>18</v>
      </c>
      <c r="C96" t="s">
        <v>24</v>
      </c>
      <c r="D96" t="s">
        <v>46</v>
      </c>
      <c r="E96">
        <v>201.25</v>
      </c>
      <c r="F96">
        <v>800</v>
      </c>
      <c r="G96">
        <v>1400</v>
      </c>
      <c r="J96" t="s">
        <v>45</v>
      </c>
      <c r="K96" t="s">
        <v>16</v>
      </c>
      <c r="L96" t="s">
        <v>25</v>
      </c>
      <c r="M96" t="s">
        <v>18</v>
      </c>
      <c r="N96">
        <v>5</v>
      </c>
      <c r="R96" t="s">
        <v>13</v>
      </c>
      <c r="S96" t="s">
        <v>28</v>
      </c>
      <c r="T96">
        <v>183.25</v>
      </c>
      <c r="U96" t="str">
        <f>_xlfn.IFNA(_xlfn.IFS(E96&gt;Dash!$D$46, "Big", E96&lt;Dash!$D$49, "Small", E96&gt;Dash!$D$47, "Good"), "Norm")</f>
        <v>Norm</v>
      </c>
      <c r="V96" t="s">
        <v>41</v>
      </c>
      <c r="W96">
        <v>178.75</v>
      </c>
      <c r="X96" t="s">
        <v>46</v>
      </c>
      <c r="Y96">
        <v>148</v>
      </c>
      <c r="Z96" t="str">
        <f>_xlfn.IFNA(_xlfn.IFS(Y96&gt;Dash!$E$46, "Big", Y96&lt;Dash!$E$49, "Small", Y96&gt;Dash!$E$47, "Good"), "Norm")</f>
        <v>Big</v>
      </c>
      <c r="AA96">
        <v>92</v>
      </c>
      <c r="AB96" t="str">
        <f>_xlfn.IFNA(_xlfn.IFS(AA96&gt;Dash!$F$46, "Big", AA96&lt;Dash!$F$49, "Small", AA96&gt;Dash!$F$47, "Good"), "Norm")</f>
        <v>Norm</v>
      </c>
      <c r="AC96">
        <v>201.25</v>
      </c>
      <c r="AD96" t="str">
        <f>_xlfn.IFNA(_xlfn.IFS(AC96&gt;Dash!$G$46, "Big", AC96&lt;Dash!$G$49, "Small", AC96&gt;Dash!$G$47, "Good"), "Norm")</f>
        <v>Good</v>
      </c>
      <c r="AE96">
        <v>151.75</v>
      </c>
      <c r="AF96" t="str">
        <f>_xlfn.IFNA(_xlfn.IFS(AE96&gt;Dash!$H$46, "Big", AE96&lt;Dash!$H$49, "Small", AE96&gt;Dash!$H$47, "Good"), "Norm")</f>
        <v>Good</v>
      </c>
      <c r="AG96">
        <v>15.25</v>
      </c>
      <c r="AH96" t="str">
        <f>_xlfn.IFNA(_xlfn.IFS(AG96&gt;Dash!$I$46, "Big", AG96&lt;Dash!$I$49, "Small", AG96&gt;Dash!$I$47, "Good"), "Norm")</f>
        <v>Small</v>
      </c>
    </row>
    <row r="97" spans="1:34" x14ac:dyDescent="0.25">
      <c r="A97" s="1">
        <v>45309</v>
      </c>
      <c r="B97" t="s">
        <v>36</v>
      </c>
      <c r="C97" t="s">
        <v>13</v>
      </c>
      <c r="D97" t="s">
        <v>28</v>
      </c>
      <c r="E97">
        <v>183.25</v>
      </c>
      <c r="F97">
        <v>600</v>
      </c>
      <c r="J97" t="s">
        <v>30</v>
      </c>
      <c r="K97" t="s">
        <v>31</v>
      </c>
      <c r="L97" t="s">
        <v>32</v>
      </c>
      <c r="M97" t="s">
        <v>18</v>
      </c>
      <c r="N97">
        <v>5</v>
      </c>
      <c r="R97" t="s">
        <v>13</v>
      </c>
      <c r="S97" t="s">
        <v>28</v>
      </c>
      <c r="T97">
        <v>281.75</v>
      </c>
      <c r="U97" t="str">
        <f>_xlfn.IFNA(_xlfn.IFS(E97&gt;Dash!$D$46, "Big", E97&lt;Dash!$D$49, "Small", E97&gt;Dash!$D$47, "Good"), "Norm")</f>
        <v>Norm</v>
      </c>
      <c r="V97" t="s">
        <v>24</v>
      </c>
      <c r="W97">
        <v>201.25</v>
      </c>
      <c r="X97" t="s">
        <v>46</v>
      </c>
      <c r="Y97">
        <v>61.75</v>
      </c>
      <c r="Z97" t="str">
        <f>_xlfn.IFNA(_xlfn.IFS(Y97&gt;Dash!$E$46, "Big", Y97&lt;Dash!$E$49, "Small", Y97&gt;Dash!$E$47, "Good"), "Norm")</f>
        <v>Norm</v>
      </c>
      <c r="AA97">
        <v>155</v>
      </c>
      <c r="AB97" t="str">
        <f>_xlfn.IFNA(_xlfn.IFS(AA97&gt;Dash!$F$46, "Big", AA97&lt;Dash!$F$49, "Small", AA97&gt;Dash!$F$47, "Good"), "Norm")</f>
        <v>Good</v>
      </c>
      <c r="AC97">
        <v>126</v>
      </c>
      <c r="AD97" t="str">
        <f>_xlfn.IFNA(_xlfn.IFS(AC97&gt;Dash!$G$46, "Big", AC97&lt;Dash!$G$49, "Small", AC97&gt;Dash!$G$47, "Good"), "Norm")</f>
        <v>Norm</v>
      </c>
      <c r="AE97">
        <v>183.25</v>
      </c>
      <c r="AF97" t="str">
        <f>_xlfn.IFNA(_xlfn.IFS(AE97&gt;Dash!$H$46, "Big", AE97&lt;Dash!$H$49, "Small", AE97&gt;Dash!$H$47, "Good"), "Norm")</f>
        <v>Good</v>
      </c>
      <c r="AG97">
        <v>32</v>
      </c>
      <c r="AH97" t="str">
        <f>_xlfn.IFNA(_xlfn.IFS(AG97&gt;Dash!$I$46, "Big", AG97&lt;Dash!$I$49, "Small", AG97&gt;Dash!$I$47, "Good"), "Norm")</f>
        <v>Norm</v>
      </c>
    </row>
    <row r="98" spans="1:34" x14ac:dyDescent="0.25">
      <c r="A98" s="1">
        <v>45310</v>
      </c>
      <c r="B98" t="s">
        <v>26</v>
      </c>
      <c r="C98" t="s">
        <v>13</v>
      </c>
      <c r="D98" t="s">
        <v>28</v>
      </c>
      <c r="E98">
        <v>281.75</v>
      </c>
      <c r="F98">
        <v>1800</v>
      </c>
      <c r="J98" t="s">
        <v>29</v>
      </c>
      <c r="K98" t="s">
        <v>31</v>
      </c>
      <c r="L98" t="s">
        <v>44</v>
      </c>
      <c r="M98" t="s">
        <v>18</v>
      </c>
      <c r="N98">
        <v>5</v>
      </c>
      <c r="O98" t="s">
        <v>61</v>
      </c>
      <c r="R98" t="s">
        <v>33</v>
      </c>
      <c r="S98" t="s">
        <v>43</v>
      </c>
      <c r="T98">
        <v>151</v>
      </c>
      <c r="U98" t="str">
        <f>_xlfn.IFNA(_xlfn.IFS(E98&gt;Dash!$D$46, "Big", E98&lt;Dash!$D$49, "Small", E98&gt;Dash!$D$47, "Good"), "Norm")</f>
        <v>Good</v>
      </c>
      <c r="V98" t="s">
        <v>13</v>
      </c>
      <c r="W98">
        <v>183.25</v>
      </c>
      <c r="X98" t="s">
        <v>28</v>
      </c>
      <c r="Y98">
        <v>71.25</v>
      </c>
      <c r="Z98" t="str">
        <f>_xlfn.IFNA(_xlfn.IFS(Y98&gt;Dash!$E$46, "Big", Y98&lt;Dash!$E$49, "Small", Y98&gt;Dash!$E$47, "Good"), "Norm")</f>
        <v>Norm</v>
      </c>
      <c r="AA98">
        <v>101.5</v>
      </c>
      <c r="AB98" t="str">
        <f>_xlfn.IFNA(_xlfn.IFS(AA98&gt;Dash!$F$46, "Big", AA98&lt;Dash!$F$49, "Small", AA98&gt;Dash!$F$47, "Good"), "Norm")</f>
        <v>Good</v>
      </c>
      <c r="AC98">
        <v>104.75</v>
      </c>
      <c r="AD98" t="str">
        <f>_xlfn.IFNA(_xlfn.IFS(AC98&gt;Dash!$G$46, "Big", AC98&lt;Dash!$G$49, "Small", AC98&gt;Dash!$G$47, "Good"), "Norm")</f>
        <v>Small</v>
      </c>
      <c r="AE98">
        <v>211.5</v>
      </c>
      <c r="AF98" t="str">
        <f>_xlfn.IFNA(_xlfn.IFS(AE98&gt;Dash!$H$46, "Big", AE98&lt;Dash!$H$49, "Small", AE98&gt;Dash!$H$47, "Good"), "Norm")</f>
        <v>Good</v>
      </c>
      <c r="AG98">
        <v>35</v>
      </c>
      <c r="AH98" t="str">
        <f>_xlfn.IFNA(_xlfn.IFS(AG98&gt;Dash!$I$46, "Big", AG98&lt;Dash!$I$49, "Small", AG98&gt;Dash!$I$47, "Good"), "Norm")</f>
        <v>Norm</v>
      </c>
    </row>
    <row r="99" spans="1:34" x14ac:dyDescent="0.25">
      <c r="A99" s="1">
        <v>45313</v>
      </c>
      <c r="B99" t="s">
        <v>23</v>
      </c>
      <c r="C99" t="s">
        <v>33</v>
      </c>
      <c r="D99" t="s">
        <v>43</v>
      </c>
      <c r="E99">
        <v>151</v>
      </c>
      <c r="F99">
        <v>1800</v>
      </c>
      <c r="G99">
        <v>1000</v>
      </c>
      <c r="J99" t="s">
        <v>29</v>
      </c>
      <c r="K99" t="s">
        <v>35</v>
      </c>
      <c r="L99" t="s">
        <v>17</v>
      </c>
      <c r="M99" t="s">
        <v>18</v>
      </c>
      <c r="N99">
        <v>5</v>
      </c>
      <c r="R99" t="s">
        <v>33</v>
      </c>
      <c r="S99" t="s">
        <v>46</v>
      </c>
      <c r="T99">
        <v>129.5</v>
      </c>
      <c r="U99" t="str">
        <f>_xlfn.IFNA(_xlfn.IFS(E99&gt;Dash!$D$46, "Big", E99&lt;Dash!$D$49, "Small", E99&gt;Dash!$D$47, "Good"), "Norm")</f>
        <v>Small</v>
      </c>
      <c r="V99" t="s">
        <v>13</v>
      </c>
      <c r="W99">
        <v>281.75</v>
      </c>
      <c r="X99" t="s">
        <v>28</v>
      </c>
      <c r="Y99">
        <v>103</v>
      </c>
      <c r="Z99" t="str">
        <f>_xlfn.IFNA(_xlfn.IFS(Y99&gt;Dash!$E$46, "Big", Y99&lt;Dash!$E$49, "Small", Y99&gt;Dash!$E$47, "Good"), "Norm")</f>
        <v>Good</v>
      </c>
      <c r="AA99">
        <v>61</v>
      </c>
      <c r="AB99" t="str">
        <f>_xlfn.IFNA(_xlfn.IFS(AA99&gt;Dash!$F$46, "Big", AA99&lt;Dash!$F$49, "Small", AA99&gt;Dash!$F$47, "Good"), "Norm")</f>
        <v>Norm</v>
      </c>
      <c r="AC99">
        <v>146.25</v>
      </c>
      <c r="AD99" t="str">
        <f>_xlfn.IFNA(_xlfn.IFS(AC99&gt;Dash!$G$46, "Big", AC99&lt;Dash!$G$49, "Small", AC99&gt;Dash!$G$47, "Good"), "Norm")</f>
        <v>Norm</v>
      </c>
      <c r="AE99">
        <v>79</v>
      </c>
      <c r="AF99" t="str">
        <f>_xlfn.IFNA(_xlfn.IFS(AE99&gt;Dash!$H$46, "Big", AE99&lt;Dash!$H$49, "Small", AE99&gt;Dash!$H$47, "Good"), "Norm")</f>
        <v>Small</v>
      </c>
      <c r="AG99">
        <v>18</v>
      </c>
      <c r="AH99" t="str">
        <f>_xlfn.IFNA(_xlfn.IFS(AG99&gt;Dash!$I$46, "Big", AG99&lt;Dash!$I$49, "Small", AG99&gt;Dash!$I$47, "Good"), "Norm")</f>
        <v>Small</v>
      </c>
    </row>
    <row r="100" spans="1:34" x14ac:dyDescent="0.25">
      <c r="A100" s="1">
        <v>45314</v>
      </c>
      <c r="B100" t="s">
        <v>19</v>
      </c>
      <c r="C100" t="s">
        <v>33</v>
      </c>
      <c r="D100" t="s">
        <v>46</v>
      </c>
      <c r="E100">
        <v>129.5</v>
      </c>
      <c r="F100">
        <v>300</v>
      </c>
      <c r="G100">
        <v>400</v>
      </c>
      <c r="J100" t="s">
        <v>15</v>
      </c>
      <c r="K100" t="s">
        <v>25</v>
      </c>
      <c r="L100" t="s">
        <v>44</v>
      </c>
      <c r="M100" t="s">
        <v>18</v>
      </c>
      <c r="N100">
        <v>5</v>
      </c>
      <c r="O100" t="s">
        <v>62</v>
      </c>
      <c r="R100" t="s">
        <v>13</v>
      </c>
      <c r="S100" t="s">
        <v>28</v>
      </c>
      <c r="T100">
        <v>189.5</v>
      </c>
      <c r="U100" t="str">
        <f>_xlfn.IFNA(_xlfn.IFS(E100&gt;Dash!$D$46, "Big", E100&lt;Dash!$D$49, "Small", E100&gt;Dash!$D$47, "Good"), "Norm")</f>
        <v>Small</v>
      </c>
      <c r="V100" t="s">
        <v>33</v>
      </c>
      <c r="W100">
        <v>151</v>
      </c>
      <c r="X100" t="s">
        <v>43</v>
      </c>
      <c r="Y100">
        <v>37.75</v>
      </c>
      <c r="Z100" t="str">
        <f>_xlfn.IFNA(_xlfn.IFS(Y100&gt;Dash!$E$46, "Big", Y100&lt;Dash!$E$49, "Small", Y100&gt;Dash!$E$47, "Good"), "Norm")</f>
        <v>Small</v>
      </c>
      <c r="AA100">
        <v>67.25</v>
      </c>
      <c r="AB100" t="str">
        <f>_xlfn.IFNA(_xlfn.IFS(AA100&gt;Dash!$F$46, "Big", AA100&lt;Dash!$F$49, "Small", AA100&gt;Dash!$F$47, "Good"), "Norm")</f>
        <v>Norm</v>
      </c>
      <c r="AC100">
        <v>116</v>
      </c>
      <c r="AD100" t="str">
        <f>_xlfn.IFNA(_xlfn.IFS(AC100&gt;Dash!$G$46, "Big", AC100&lt;Dash!$G$49, "Small", AC100&gt;Dash!$G$47, "Good"), "Norm")</f>
        <v>Norm</v>
      </c>
      <c r="AE100">
        <v>97.24</v>
      </c>
      <c r="AF100" t="str">
        <f>_xlfn.IFNA(_xlfn.IFS(AE100&gt;Dash!$H$46, "Big", AE100&lt;Dash!$H$49, "Small", AE100&gt;Dash!$H$47, "Good"), "Norm")</f>
        <v>Norm</v>
      </c>
      <c r="AG100">
        <v>48</v>
      </c>
      <c r="AH100" t="str">
        <f>_xlfn.IFNA(_xlfn.IFS(AG100&gt;Dash!$I$46, "Big", AG100&lt;Dash!$I$49, "Small", AG100&gt;Dash!$I$47, "Good"), "Norm")</f>
        <v>Good</v>
      </c>
    </row>
    <row r="101" spans="1:34" x14ac:dyDescent="0.25">
      <c r="A101" s="1">
        <v>45315</v>
      </c>
      <c r="B101" t="s">
        <v>18</v>
      </c>
      <c r="C101" t="s">
        <v>13</v>
      </c>
      <c r="D101" t="s">
        <v>28</v>
      </c>
      <c r="E101">
        <v>189.5</v>
      </c>
      <c r="F101">
        <v>1800</v>
      </c>
      <c r="J101" t="s">
        <v>29</v>
      </c>
      <c r="K101" t="s">
        <v>31</v>
      </c>
      <c r="L101" t="s">
        <v>32</v>
      </c>
      <c r="M101" t="s">
        <v>18</v>
      </c>
      <c r="N101">
        <v>5</v>
      </c>
      <c r="O101" t="s">
        <v>63</v>
      </c>
      <c r="R101" t="s">
        <v>33</v>
      </c>
      <c r="S101" t="s">
        <v>46</v>
      </c>
      <c r="T101">
        <v>210</v>
      </c>
      <c r="U101" t="str">
        <f>_xlfn.IFNA(_xlfn.IFS(E101&gt;Dash!$D$46, "Big", E101&lt;Dash!$D$49, "Small", E101&gt;Dash!$D$47, "Good"), "Norm")</f>
        <v>Norm</v>
      </c>
      <c r="V101" t="s">
        <v>33</v>
      </c>
      <c r="W101">
        <v>129.5</v>
      </c>
      <c r="X101" t="s">
        <v>46</v>
      </c>
      <c r="Y101">
        <v>79.25</v>
      </c>
      <c r="Z101" t="str">
        <f>_xlfn.IFNA(_xlfn.IFS(Y101&gt;Dash!$E$46, "Big", Y101&lt;Dash!$E$49, "Small", Y101&gt;Dash!$E$47, "Good"), "Norm")</f>
        <v>Good</v>
      </c>
      <c r="AA101">
        <v>54.25</v>
      </c>
      <c r="AB101" t="str">
        <f>_xlfn.IFNA(_xlfn.IFS(AA101&gt;Dash!$F$46, "Big", AA101&lt;Dash!$F$49, "Small", AA101&gt;Dash!$F$47, "Good"), "Norm")</f>
        <v>Small</v>
      </c>
      <c r="AC101">
        <v>127.5</v>
      </c>
      <c r="AD101" t="str">
        <f>_xlfn.IFNA(_xlfn.IFS(AC101&gt;Dash!$G$46, "Big", AC101&lt;Dash!$G$49, "Small", AC101&gt;Dash!$G$47, "Good"), "Norm")</f>
        <v>Norm</v>
      </c>
      <c r="AE101">
        <v>189.5</v>
      </c>
      <c r="AF101" t="str">
        <f>_xlfn.IFNA(_xlfn.IFS(AE101&gt;Dash!$H$46, "Big", AE101&lt;Dash!$H$49, "Small", AE101&gt;Dash!$H$47, "Good"), "Norm")</f>
        <v>Good</v>
      </c>
      <c r="AG101">
        <v>66</v>
      </c>
      <c r="AH101" t="str">
        <f>_xlfn.IFNA(_xlfn.IFS(AG101&gt;Dash!$I$46, "Big", AG101&lt;Dash!$I$49, "Small", AG101&gt;Dash!$I$47, "Good"), "Norm")</f>
        <v>Good</v>
      </c>
    </row>
    <row r="102" spans="1:34" x14ac:dyDescent="0.25">
      <c r="A102" s="1">
        <v>45316</v>
      </c>
      <c r="B102" t="s">
        <v>36</v>
      </c>
      <c r="C102" t="s">
        <v>33</v>
      </c>
      <c r="D102" t="s">
        <v>46</v>
      </c>
      <c r="E102">
        <v>210</v>
      </c>
      <c r="F102">
        <v>1400</v>
      </c>
      <c r="G102">
        <v>1500</v>
      </c>
      <c r="J102" t="s">
        <v>21</v>
      </c>
      <c r="K102" t="s">
        <v>35</v>
      </c>
      <c r="L102" t="s">
        <v>17</v>
      </c>
      <c r="M102" t="s">
        <v>18</v>
      </c>
      <c r="N102">
        <v>5</v>
      </c>
      <c r="R102" t="s">
        <v>20</v>
      </c>
      <c r="S102" t="s">
        <v>14</v>
      </c>
      <c r="T102">
        <v>128.5</v>
      </c>
      <c r="U102" t="str">
        <f>_xlfn.IFNA(_xlfn.IFS(E102&gt;Dash!$D$46, "Big", E102&lt;Dash!$D$49, "Small", E102&gt;Dash!$D$47, "Good"), "Norm")</f>
        <v>Norm</v>
      </c>
      <c r="V102" t="s">
        <v>13</v>
      </c>
      <c r="W102">
        <v>189.5</v>
      </c>
      <c r="X102" t="s">
        <v>28</v>
      </c>
      <c r="Y102">
        <v>46.5</v>
      </c>
      <c r="Z102" t="str">
        <f>_xlfn.IFNA(_xlfn.IFS(Y102&gt;Dash!$E$46, "Big", Y102&lt;Dash!$E$49, "Small", Y102&gt;Dash!$E$47, "Good"), "Norm")</f>
        <v>Norm</v>
      </c>
      <c r="AA102">
        <v>61</v>
      </c>
      <c r="AB102" t="str">
        <f>_xlfn.IFNA(_xlfn.IFS(AA102&gt;Dash!$F$46, "Big", AA102&lt;Dash!$F$49, "Small", AA102&gt;Dash!$F$47, "Good"), "Norm")</f>
        <v>Norm</v>
      </c>
      <c r="AC102">
        <v>138.25</v>
      </c>
      <c r="AD102" t="str">
        <f>_xlfn.IFNA(_xlfn.IFS(AC102&gt;Dash!$G$46, "Big", AC102&lt;Dash!$G$49, "Small", AC102&gt;Dash!$G$47, "Good"), "Norm")</f>
        <v>Norm</v>
      </c>
      <c r="AE102">
        <v>190</v>
      </c>
      <c r="AF102" t="str">
        <f>_xlfn.IFNA(_xlfn.IFS(AE102&gt;Dash!$H$46, "Big", AE102&lt;Dash!$H$49, "Small", AE102&gt;Dash!$H$47, "Good"), "Norm")</f>
        <v>Good</v>
      </c>
      <c r="AG102">
        <v>71.5</v>
      </c>
      <c r="AH102" t="str">
        <f>_xlfn.IFNA(_xlfn.IFS(AG102&gt;Dash!$I$46, "Big", AG102&lt;Dash!$I$49, "Small", AG102&gt;Dash!$I$47, "Good"), "Norm")</f>
        <v>Good</v>
      </c>
    </row>
    <row r="103" spans="1:34" x14ac:dyDescent="0.25">
      <c r="A103" s="1">
        <v>45317</v>
      </c>
      <c r="B103" t="s">
        <v>26</v>
      </c>
      <c r="C103" t="s">
        <v>20</v>
      </c>
      <c r="D103" t="s">
        <v>14</v>
      </c>
      <c r="E103">
        <v>128.5</v>
      </c>
      <c r="F103">
        <v>1800</v>
      </c>
      <c r="G103">
        <v>600</v>
      </c>
      <c r="J103" t="s">
        <v>37</v>
      </c>
      <c r="K103" t="s">
        <v>39</v>
      </c>
      <c r="L103" t="s">
        <v>32</v>
      </c>
      <c r="M103" t="s">
        <v>18</v>
      </c>
      <c r="N103">
        <v>5</v>
      </c>
      <c r="R103" t="s">
        <v>13</v>
      </c>
      <c r="S103" t="s">
        <v>38</v>
      </c>
      <c r="T103">
        <v>196.5</v>
      </c>
      <c r="U103" t="str">
        <f>_xlfn.IFNA(_xlfn.IFS(E103&gt;Dash!$D$46, "Big", E103&lt;Dash!$D$49, "Small", E103&gt;Dash!$D$47, "Good"), "Norm")</f>
        <v>Small</v>
      </c>
      <c r="V103" t="s">
        <v>33</v>
      </c>
      <c r="W103">
        <v>210</v>
      </c>
      <c r="X103" t="s">
        <v>46</v>
      </c>
      <c r="Y103">
        <v>92</v>
      </c>
      <c r="Z103" t="str">
        <f>_xlfn.IFNA(_xlfn.IFS(Y103&gt;Dash!$E$46, "Big", Y103&lt;Dash!$E$49, "Small", Y103&gt;Dash!$E$47, "Good"), "Norm")</f>
        <v>Good</v>
      </c>
      <c r="AA103">
        <v>124.25</v>
      </c>
      <c r="AB103" t="str">
        <f>_xlfn.IFNA(_xlfn.IFS(AA103&gt;Dash!$F$46, "Big", AA103&lt;Dash!$F$49, "Small", AA103&gt;Dash!$F$47, "Good"), "Norm")</f>
        <v>Good</v>
      </c>
      <c r="AC103">
        <v>125.5</v>
      </c>
      <c r="AD103" t="str">
        <f>_xlfn.IFNA(_xlfn.IFS(AC103&gt;Dash!$G$46, "Big", AC103&lt;Dash!$G$49, "Small", AC103&gt;Dash!$G$47, "Good"), "Norm")</f>
        <v>Norm</v>
      </c>
      <c r="AE103">
        <v>128.5</v>
      </c>
      <c r="AF103" t="str">
        <f>_xlfn.IFNA(_xlfn.IFS(AE103&gt;Dash!$H$46, "Big", AE103&lt;Dash!$H$49, "Small", AE103&gt;Dash!$H$47, "Good"), "Norm")</f>
        <v>Norm</v>
      </c>
      <c r="AG103">
        <v>35.25</v>
      </c>
      <c r="AH103" t="str">
        <f>_xlfn.IFNA(_xlfn.IFS(AG103&gt;Dash!$I$46, "Big", AG103&lt;Dash!$I$49, "Small", AG103&gt;Dash!$I$47, "Good"), "Norm")</f>
        <v>Norm</v>
      </c>
    </row>
    <row r="104" spans="1:34" x14ac:dyDescent="0.25">
      <c r="A104" s="1">
        <v>45320</v>
      </c>
      <c r="B104" t="s">
        <v>23</v>
      </c>
      <c r="C104" t="s">
        <v>13</v>
      </c>
      <c r="D104" t="s">
        <v>38</v>
      </c>
      <c r="E104">
        <v>196.5</v>
      </c>
      <c r="F104">
        <v>1800</v>
      </c>
      <c r="G104">
        <v>1900</v>
      </c>
      <c r="H104">
        <v>1400</v>
      </c>
      <c r="J104" t="s">
        <v>29</v>
      </c>
      <c r="K104" t="s">
        <v>31</v>
      </c>
      <c r="L104" t="s">
        <v>32</v>
      </c>
      <c r="M104" t="s">
        <v>19</v>
      </c>
      <c r="N104">
        <v>13</v>
      </c>
      <c r="R104" t="s">
        <v>13</v>
      </c>
      <c r="S104" t="s">
        <v>47</v>
      </c>
      <c r="T104">
        <v>136.5</v>
      </c>
      <c r="U104" t="str">
        <f>_xlfn.IFNA(_xlfn.IFS(E104&gt;Dash!$D$46, "Big", E104&lt;Dash!$D$49, "Small", E104&gt;Dash!$D$47, "Good"), "Norm")</f>
        <v>Norm</v>
      </c>
      <c r="V104" t="s">
        <v>20</v>
      </c>
      <c r="W104">
        <v>128.5</v>
      </c>
      <c r="X104" t="s">
        <v>14</v>
      </c>
      <c r="Y104">
        <v>95.75</v>
      </c>
      <c r="Z104" t="str">
        <f>_xlfn.IFNA(_xlfn.IFS(Y104&gt;Dash!$E$46, "Big", Y104&lt;Dash!$E$49, "Small", Y104&gt;Dash!$E$47, "Good"), "Norm")</f>
        <v>Good</v>
      </c>
      <c r="AA104">
        <v>51.25</v>
      </c>
      <c r="AB104" t="str">
        <f>_xlfn.IFNA(_xlfn.IFS(AA104&gt;Dash!$F$46, "Big", AA104&lt;Dash!$F$49, "Small", AA104&gt;Dash!$F$47, "Good"), "Norm")</f>
        <v>Small</v>
      </c>
      <c r="AC104">
        <v>63.75</v>
      </c>
      <c r="AD104" t="str">
        <f>_xlfn.IFNA(_xlfn.IFS(AC104&gt;Dash!$G$46, "Big", AC104&lt;Dash!$G$49, "Small", AC104&gt;Dash!$G$47, "Good"), "Norm")</f>
        <v>Small</v>
      </c>
      <c r="AE104">
        <v>140</v>
      </c>
      <c r="AF104" t="str">
        <f>_xlfn.IFNA(_xlfn.IFS(AE104&gt;Dash!$H$46, "Big", AE104&lt;Dash!$H$49, "Small", AE104&gt;Dash!$H$47, "Good"), "Norm")</f>
        <v>Norm</v>
      </c>
      <c r="AG104">
        <v>23.5</v>
      </c>
      <c r="AH104" t="str">
        <f>_xlfn.IFNA(_xlfn.IFS(AG104&gt;Dash!$I$46, "Big", AG104&lt;Dash!$I$49, "Small", AG104&gt;Dash!$I$47, "Good"), "Norm")</f>
        <v>Norm</v>
      </c>
    </row>
    <row r="105" spans="1:34" x14ac:dyDescent="0.25">
      <c r="A105" s="1">
        <v>45321</v>
      </c>
      <c r="B105" t="s">
        <v>19</v>
      </c>
      <c r="C105" t="s">
        <v>13</v>
      </c>
      <c r="D105" t="s">
        <v>47</v>
      </c>
      <c r="E105">
        <v>136.5</v>
      </c>
      <c r="F105">
        <v>1800</v>
      </c>
      <c r="G105">
        <v>2000</v>
      </c>
      <c r="J105" t="s">
        <v>29</v>
      </c>
      <c r="K105" t="s">
        <v>16</v>
      </c>
      <c r="L105" t="s">
        <v>42</v>
      </c>
      <c r="M105" t="s">
        <v>19</v>
      </c>
      <c r="N105">
        <v>13</v>
      </c>
      <c r="O105" t="s">
        <v>64</v>
      </c>
      <c r="R105">
        <v>0</v>
      </c>
      <c r="S105" t="s">
        <v>47</v>
      </c>
      <c r="T105">
        <v>253.5</v>
      </c>
      <c r="U105" t="str">
        <f>_xlfn.IFNA(_xlfn.IFS(E105&gt;Dash!$D$46, "Big", E105&lt;Dash!$D$49, "Small", E105&gt;Dash!$D$47, "Good"), "Norm")</f>
        <v>Small</v>
      </c>
      <c r="V105" t="s">
        <v>13</v>
      </c>
      <c r="W105">
        <v>196.5</v>
      </c>
      <c r="X105" t="s">
        <v>38</v>
      </c>
      <c r="Y105">
        <v>36.25</v>
      </c>
      <c r="Z105" t="str">
        <f>_xlfn.IFNA(_xlfn.IFS(Y105&gt;Dash!$E$46, "Big", Y105&lt;Dash!$E$49, "Small", Y105&gt;Dash!$E$47, "Good"), "Norm")</f>
        <v>Small</v>
      </c>
      <c r="AA105">
        <v>55.75</v>
      </c>
      <c r="AB105" t="str">
        <f>_xlfn.IFNA(_xlfn.IFS(AA105&gt;Dash!$F$46, "Big", AA105&lt;Dash!$F$49, "Small", AA105&gt;Dash!$F$47, "Good"), "Norm")</f>
        <v>Small</v>
      </c>
      <c r="AC105">
        <v>68.25</v>
      </c>
      <c r="AD105" t="str">
        <f>_xlfn.IFNA(_xlfn.IFS(AC105&gt;Dash!$G$46, "Big", AC105&lt;Dash!$G$49, "Small", AC105&gt;Dash!$G$47, "Good"), "Norm")</f>
        <v>Small</v>
      </c>
      <c r="AE105">
        <v>99.25</v>
      </c>
      <c r="AF105" t="str">
        <f>_xlfn.IFNA(_xlfn.IFS(AE105&gt;Dash!$H$46, "Big", AE105&lt;Dash!$H$49, "Small", AE105&gt;Dash!$H$47, "Good"), "Norm")</f>
        <v>Norm</v>
      </c>
      <c r="AG105">
        <v>141</v>
      </c>
      <c r="AH105" t="str">
        <f>_xlfn.IFNA(_xlfn.IFS(AG105&gt;Dash!$I$46, "Big", AG105&lt;Dash!$I$49, "Small", AG105&gt;Dash!$I$47, "Good"), "Norm")</f>
        <v>Big</v>
      </c>
    </row>
    <row r="106" spans="1:34" x14ac:dyDescent="0.25">
      <c r="A106" s="1">
        <v>45322</v>
      </c>
      <c r="B106" t="s">
        <v>18</v>
      </c>
      <c r="D106" t="s">
        <v>47</v>
      </c>
      <c r="E106">
        <v>253.5</v>
      </c>
      <c r="F106">
        <v>300</v>
      </c>
      <c r="G106">
        <v>400</v>
      </c>
      <c r="J106" t="s">
        <v>37</v>
      </c>
      <c r="K106" t="s">
        <v>44</v>
      </c>
      <c r="L106" t="s">
        <v>42</v>
      </c>
      <c r="M106" t="s">
        <v>19</v>
      </c>
      <c r="N106">
        <v>13</v>
      </c>
      <c r="R106" t="s">
        <v>20</v>
      </c>
      <c r="S106" t="s">
        <v>28</v>
      </c>
      <c r="T106">
        <v>189.25</v>
      </c>
      <c r="U106" t="str">
        <f>_xlfn.IFNA(_xlfn.IFS(E106&gt;Dash!$D$46, "Big", E106&lt;Dash!$D$49, "Small", E106&gt;Dash!$D$47, "Good"), "Norm")</f>
        <v>Good</v>
      </c>
      <c r="V106" t="s">
        <v>13</v>
      </c>
      <c r="W106">
        <v>136.5</v>
      </c>
      <c r="X106" t="s">
        <v>47</v>
      </c>
      <c r="Y106">
        <v>53</v>
      </c>
      <c r="Z106" t="str">
        <f>_xlfn.IFNA(_xlfn.IFS(Y106&gt;Dash!$E$46, "Big", Y106&lt;Dash!$E$49, "Small", Y106&gt;Dash!$E$47, "Good"), "Norm")</f>
        <v>Norm</v>
      </c>
      <c r="AA106">
        <v>135</v>
      </c>
      <c r="AB106" t="str">
        <f>_xlfn.IFNA(_xlfn.IFS(AA106&gt;Dash!$F$46, "Big", AA106&lt;Dash!$F$49, "Small", AA106&gt;Dash!$F$47, "Good"), "Norm")</f>
        <v>Good</v>
      </c>
      <c r="AC106">
        <v>170.75</v>
      </c>
      <c r="AD106" t="str">
        <f>_xlfn.IFNA(_xlfn.IFS(AC106&gt;Dash!$G$46, "Big", AC106&lt;Dash!$G$49, "Small", AC106&gt;Dash!$G$47, "Good"), "Norm")</f>
        <v>Norm</v>
      </c>
      <c r="AE106">
        <v>253.5</v>
      </c>
      <c r="AF106" t="str">
        <f>_xlfn.IFNA(_xlfn.IFS(AE106&gt;Dash!$H$46, "Big", AE106&lt;Dash!$H$49, "Small", AE106&gt;Dash!$H$47, "Good"), "Norm")</f>
        <v>Big</v>
      </c>
      <c r="AG106">
        <v>49.25</v>
      </c>
      <c r="AH106" t="str">
        <f>_xlfn.IFNA(_xlfn.IFS(AG106&gt;Dash!$I$46, "Big", AG106&lt;Dash!$I$49, "Small", AG106&gt;Dash!$I$47, "Good"), "Norm")</f>
        <v>Good</v>
      </c>
    </row>
    <row r="107" spans="1:34" x14ac:dyDescent="0.25">
      <c r="A107" s="1">
        <v>45323</v>
      </c>
      <c r="B107" t="s">
        <v>36</v>
      </c>
      <c r="C107" t="s">
        <v>20</v>
      </c>
      <c r="D107" t="s">
        <v>28</v>
      </c>
      <c r="E107">
        <v>189.25</v>
      </c>
      <c r="F107">
        <v>1600</v>
      </c>
      <c r="J107" t="s">
        <v>54</v>
      </c>
      <c r="K107" t="s">
        <v>39</v>
      </c>
      <c r="L107" t="s">
        <v>44</v>
      </c>
      <c r="M107" t="s">
        <v>19</v>
      </c>
      <c r="N107">
        <v>13</v>
      </c>
      <c r="O107" t="s">
        <v>65</v>
      </c>
      <c r="R107" t="s">
        <v>33</v>
      </c>
      <c r="S107" t="s">
        <v>28</v>
      </c>
      <c r="T107">
        <v>310</v>
      </c>
      <c r="U107" t="str">
        <f>_xlfn.IFNA(_xlfn.IFS(E107&gt;Dash!$D$46, "Big", E107&lt;Dash!$D$49, "Small", E107&gt;Dash!$D$47, "Good"), "Norm")</f>
        <v>Norm</v>
      </c>
      <c r="V107">
        <v>0</v>
      </c>
      <c r="W107">
        <v>253.5</v>
      </c>
      <c r="X107" t="s">
        <v>47</v>
      </c>
      <c r="Y107">
        <v>59.5</v>
      </c>
      <c r="Z107" t="str">
        <f>_xlfn.IFNA(_xlfn.IFS(Y107&gt;Dash!$E$46, "Big", Y107&lt;Dash!$E$49, "Small", Y107&gt;Dash!$E$47, "Good"), "Norm")</f>
        <v>Norm</v>
      </c>
      <c r="AA107">
        <v>101</v>
      </c>
      <c r="AB107" t="str">
        <f>_xlfn.IFNA(_xlfn.IFS(AA107&gt;Dash!$F$46, "Big", AA107&lt;Dash!$F$49, "Small", AA107&gt;Dash!$F$47, "Good"), "Norm")</f>
        <v>Good</v>
      </c>
      <c r="AC107">
        <v>107.75</v>
      </c>
      <c r="AD107" t="str">
        <f>_xlfn.IFNA(_xlfn.IFS(AC107&gt;Dash!$G$46, "Big", AC107&lt;Dash!$G$49, "Small", AC107&gt;Dash!$G$47, "Good"), "Norm")</f>
        <v>Small</v>
      </c>
      <c r="AE107">
        <v>130.75</v>
      </c>
      <c r="AF107" t="str">
        <f>_xlfn.IFNA(_xlfn.IFS(AE107&gt;Dash!$H$46, "Big", AE107&lt;Dash!$H$49, "Small", AE107&gt;Dash!$H$47, "Good"), "Norm")</f>
        <v>Norm</v>
      </c>
      <c r="AG107">
        <v>230.25</v>
      </c>
      <c r="AH107" t="str">
        <f>_xlfn.IFNA(_xlfn.IFS(AG107&gt;Dash!$I$46, "Big", AG107&lt;Dash!$I$49, "Small", AG107&gt;Dash!$I$47, "Good"), "Norm")</f>
        <v>Big</v>
      </c>
    </row>
    <row r="108" spans="1:34" x14ac:dyDescent="0.25">
      <c r="A108" s="1">
        <v>45324</v>
      </c>
      <c r="B108" t="s">
        <v>26</v>
      </c>
      <c r="C108" t="s">
        <v>33</v>
      </c>
      <c r="D108" t="s">
        <v>28</v>
      </c>
      <c r="E108">
        <v>310</v>
      </c>
      <c r="F108">
        <v>1000</v>
      </c>
      <c r="J108" t="s">
        <v>27</v>
      </c>
      <c r="K108" t="s">
        <v>25</v>
      </c>
      <c r="L108" t="s">
        <v>32</v>
      </c>
      <c r="M108" t="s">
        <v>19</v>
      </c>
      <c r="N108">
        <v>13</v>
      </c>
      <c r="R108" t="s">
        <v>33</v>
      </c>
      <c r="S108">
        <v>1</v>
      </c>
      <c r="T108">
        <v>191.25</v>
      </c>
      <c r="U108" t="str">
        <f>_xlfn.IFNA(_xlfn.IFS(E108&gt;Dash!$D$46, "Big", E108&lt;Dash!$D$49, "Small", E108&gt;Dash!$D$47, "Good"), "Norm")</f>
        <v>Good</v>
      </c>
      <c r="V108" t="s">
        <v>20</v>
      </c>
      <c r="W108">
        <v>189.25</v>
      </c>
      <c r="X108" t="s">
        <v>28</v>
      </c>
      <c r="Y108">
        <v>53.25</v>
      </c>
      <c r="Z108" t="str">
        <f>_xlfn.IFNA(_xlfn.IFS(Y108&gt;Dash!$E$46, "Big", Y108&lt;Dash!$E$49, "Small", Y108&gt;Dash!$E$47, "Good"), "Norm")</f>
        <v>Norm</v>
      </c>
      <c r="AA108">
        <v>64.25</v>
      </c>
      <c r="AB108" t="str">
        <f>_xlfn.IFNA(_xlfn.IFS(AA108&gt;Dash!$F$46, "Big", AA108&lt;Dash!$F$49, "Small", AA108&gt;Dash!$F$47, "Good"), "Norm")</f>
        <v>Norm</v>
      </c>
      <c r="AC108">
        <v>252.25</v>
      </c>
      <c r="AD108" t="str">
        <f>_xlfn.IFNA(_xlfn.IFS(AC108&gt;Dash!$G$46, "Big", AC108&lt;Dash!$G$49, "Small", AC108&gt;Dash!$G$47, "Good"), "Norm")</f>
        <v>Good</v>
      </c>
      <c r="AE108">
        <v>111</v>
      </c>
      <c r="AF108" t="str">
        <f>_xlfn.IFNA(_xlfn.IFS(AE108&gt;Dash!$H$46, "Big", AE108&lt;Dash!$H$49, "Small", AE108&gt;Dash!$H$47, "Good"), "Norm")</f>
        <v>Norm</v>
      </c>
      <c r="AG108">
        <v>45.75</v>
      </c>
      <c r="AH108" t="str">
        <f>_xlfn.IFNA(_xlfn.IFS(AG108&gt;Dash!$I$46, "Big", AG108&lt;Dash!$I$49, "Small", AG108&gt;Dash!$I$47, "Good"), "Norm")</f>
        <v>Good</v>
      </c>
    </row>
    <row r="109" spans="1:34" x14ac:dyDescent="0.25">
      <c r="A109" s="1">
        <v>45327</v>
      </c>
      <c r="B109" t="s">
        <v>23</v>
      </c>
      <c r="C109" t="s">
        <v>33</v>
      </c>
      <c r="D109">
        <v>1</v>
      </c>
      <c r="E109">
        <v>191.25</v>
      </c>
      <c r="J109" t="s">
        <v>34</v>
      </c>
      <c r="K109" t="s">
        <v>25</v>
      </c>
      <c r="L109" t="s">
        <v>32</v>
      </c>
      <c r="M109" t="s">
        <v>23</v>
      </c>
      <c r="N109">
        <v>2</v>
      </c>
      <c r="R109" t="s">
        <v>20</v>
      </c>
      <c r="S109" t="s">
        <v>43</v>
      </c>
      <c r="T109">
        <v>207</v>
      </c>
      <c r="U109" t="str">
        <f>_xlfn.IFNA(_xlfn.IFS(E109&gt;Dash!$D$46, "Big", E109&lt;Dash!$D$49, "Small", E109&gt;Dash!$D$47, "Good"), "Norm")</f>
        <v>Norm</v>
      </c>
      <c r="V109" t="s">
        <v>33</v>
      </c>
      <c r="W109">
        <v>310</v>
      </c>
      <c r="X109" t="s">
        <v>28</v>
      </c>
      <c r="Y109">
        <v>64.25</v>
      </c>
      <c r="Z109" t="str">
        <f>_xlfn.IFNA(_xlfn.IFS(Y109&gt;Dash!$E$46, "Big", Y109&lt;Dash!$E$49, "Small", Y109&gt;Dash!$E$47, "Good"), "Norm")</f>
        <v>Norm</v>
      </c>
      <c r="AA109">
        <v>62</v>
      </c>
      <c r="AB109" t="str">
        <f>_xlfn.IFNA(_xlfn.IFS(AA109&gt;Dash!$F$46, "Big", AA109&lt;Dash!$F$49, "Small", AA109&gt;Dash!$F$47, "Good"), "Norm")</f>
        <v>Norm</v>
      </c>
      <c r="AC109">
        <v>185</v>
      </c>
      <c r="AD109" t="str">
        <f>_xlfn.IFNA(_xlfn.IFS(AC109&gt;Dash!$G$46, "Big", AC109&lt;Dash!$G$49, "Small", AC109&gt;Dash!$G$47, "Good"), "Norm")</f>
        <v>Norm</v>
      </c>
      <c r="AE109">
        <v>91.25</v>
      </c>
      <c r="AF109" t="str">
        <f>_xlfn.IFNA(_xlfn.IFS(AE109&gt;Dash!$H$46, "Big", AE109&lt;Dash!$H$49, "Small", AE109&gt;Dash!$H$47, "Good"), "Norm")</f>
        <v>Small</v>
      </c>
      <c r="AG109">
        <v>29</v>
      </c>
      <c r="AH109" t="str">
        <f>_xlfn.IFNA(_xlfn.IFS(AG109&gt;Dash!$I$46, "Big", AG109&lt;Dash!$I$49, "Small", AG109&gt;Dash!$I$47, "Good"), "Norm")</f>
        <v>Norm</v>
      </c>
    </row>
    <row r="110" spans="1:34" x14ac:dyDescent="0.25">
      <c r="A110" s="1">
        <v>45328</v>
      </c>
      <c r="B110" t="s">
        <v>19</v>
      </c>
      <c r="C110" t="s">
        <v>20</v>
      </c>
      <c r="D110" t="s">
        <v>43</v>
      </c>
      <c r="E110">
        <v>207</v>
      </c>
      <c r="F110" t="s">
        <v>163</v>
      </c>
      <c r="G110">
        <v>100</v>
      </c>
      <c r="J110" t="s">
        <v>29</v>
      </c>
      <c r="K110" t="s">
        <v>22</v>
      </c>
      <c r="L110" t="s">
        <v>17</v>
      </c>
      <c r="M110" t="s">
        <v>23</v>
      </c>
      <c r="N110">
        <v>2</v>
      </c>
      <c r="R110" t="s">
        <v>24</v>
      </c>
      <c r="S110" t="s">
        <v>28</v>
      </c>
      <c r="T110">
        <v>170</v>
      </c>
      <c r="U110" t="str">
        <f>_xlfn.IFNA(_xlfn.IFS(E110&gt;Dash!$D$46, "Big", E110&lt;Dash!$D$49, "Small", E110&gt;Dash!$D$47, "Good"), "Norm")</f>
        <v>Norm</v>
      </c>
      <c r="V110" t="s">
        <v>33</v>
      </c>
      <c r="W110">
        <v>191.25</v>
      </c>
      <c r="X110">
        <v>1</v>
      </c>
      <c r="Y110">
        <v>59</v>
      </c>
      <c r="Z110" t="str">
        <f>_xlfn.IFNA(_xlfn.IFS(Y110&gt;Dash!$E$46, "Big", Y110&lt;Dash!$E$49, "Small", Y110&gt;Dash!$E$47, "Good"), "Norm")</f>
        <v>Norm</v>
      </c>
      <c r="AA110">
        <v>98.5</v>
      </c>
      <c r="AB110" t="str">
        <f>_xlfn.IFNA(_xlfn.IFS(AA110&gt;Dash!$F$46, "Big", AA110&lt;Dash!$F$49, "Small", AA110&gt;Dash!$F$47, "Good"), "Norm")</f>
        <v>Good</v>
      </c>
      <c r="AC110">
        <v>189.75</v>
      </c>
      <c r="AD110" t="str">
        <f>_xlfn.IFNA(_xlfn.IFS(AC110&gt;Dash!$G$46, "Big", AC110&lt;Dash!$G$49, "Small", AC110&gt;Dash!$G$47, "Good"), "Norm")</f>
        <v>Norm</v>
      </c>
      <c r="AE110">
        <v>103</v>
      </c>
      <c r="AF110" t="str">
        <f>_xlfn.IFNA(_xlfn.IFS(AE110&gt;Dash!$H$46, "Big", AE110&lt;Dash!$H$49, "Small", AE110&gt;Dash!$H$47, "Good"), "Norm")</f>
        <v>Norm</v>
      </c>
      <c r="AG110">
        <v>27</v>
      </c>
      <c r="AH110" t="str">
        <f>_xlfn.IFNA(_xlfn.IFS(AG110&gt;Dash!$I$46, "Big", AG110&lt;Dash!$I$49, "Small", AG110&gt;Dash!$I$47, "Good"), "Norm")</f>
        <v>Norm</v>
      </c>
    </row>
    <row r="111" spans="1:34" x14ac:dyDescent="0.25">
      <c r="A111" s="1">
        <v>45329</v>
      </c>
      <c r="B111" t="s">
        <v>18</v>
      </c>
      <c r="C111" t="s">
        <v>24</v>
      </c>
      <c r="D111" t="s">
        <v>28</v>
      </c>
      <c r="E111">
        <v>170</v>
      </c>
      <c r="F111">
        <v>900</v>
      </c>
      <c r="J111" t="s">
        <v>27</v>
      </c>
      <c r="K111" t="s">
        <v>31</v>
      </c>
      <c r="L111" t="s">
        <v>35</v>
      </c>
      <c r="M111" t="s">
        <v>23</v>
      </c>
      <c r="N111">
        <v>2</v>
      </c>
      <c r="R111" t="s">
        <v>33</v>
      </c>
      <c r="S111" t="s">
        <v>28</v>
      </c>
      <c r="T111">
        <v>104.25</v>
      </c>
      <c r="U111" t="str">
        <f>_xlfn.IFNA(_xlfn.IFS(E111&gt;Dash!$D$46, "Big", E111&lt;Dash!$D$49, "Small", E111&gt;Dash!$D$47, "Good"), "Norm")</f>
        <v>Norm</v>
      </c>
      <c r="V111" t="s">
        <v>20</v>
      </c>
      <c r="W111">
        <v>207</v>
      </c>
      <c r="X111" t="s">
        <v>43</v>
      </c>
      <c r="Y111">
        <v>82.25</v>
      </c>
      <c r="Z111" t="str">
        <f>_xlfn.IFNA(_xlfn.IFS(Y111&gt;Dash!$E$46, "Big", Y111&lt;Dash!$E$49, "Small", Y111&gt;Dash!$E$47, "Good"), "Norm")</f>
        <v>Good</v>
      </c>
      <c r="AA111">
        <v>79.5</v>
      </c>
      <c r="AB111" t="str">
        <f>_xlfn.IFNA(_xlfn.IFS(AA111&gt;Dash!$F$46, "Big", AA111&lt;Dash!$F$49, "Small", AA111&gt;Dash!$F$47, "Good"), "Norm")</f>
        <v>Norm</v>
      </c>
      <c r="AC111">
        <v>170</v>
      </c>
      <c r="AD111" t="str">
        <f>_xlfn.IFNA(_xlfn.IFS(AC111&gt;Dash!$G$46, "Big", AC111&lt;Dash!$G$49, "Small", AC111&gt;Dash!$G$47, "Good"), "Norm")</f>
        <v>Norm</v>
      </c>
      <c r="AE111">
        <v>87</v>
      </c>
      <c r="AF111" t="str">
        <f>_xlfn.IFNA(_xlfn.IFS(AE111&gt;Dash!$H$46, "Big", AE111&lt;Dash!$H$49, "Small", AE111&gt;Dash!$H$47, "Good"), "Norm")</f>
        <v>Small</v>
      </c>
      <c r="AG111">
        <v>26</v>
      </c>
      <c r="AH111" t="str">
        <f>_xlfn.IFNA(_xlfn.IFS(AG111&gt;Dash!$I$46, "Big", AG111&lt;Dash!$I$49, "Small", AG111&gt;Dash!$I$47, "Good"), "Norm")</f>
        <v>Norm</v>
      </c>
    </row>
    <row r="112" spans="1:34" x14ac:dyDescent="0.25">
      <c r="A112" s="1">
        <v>45330</v>
      </c>
      <c r="B112" t="s">
        <v>36</v>
      </c>
      <c r="C112" t="s">
        <v>33</v>
      </c>
      <c r="D112" t="s">
        <v>28</v>
      </c>
      <c r="E112">
        <v>104.25</v>
      </c>
      <c r="F112">
        <v>1000</v>
      </c>
      <c r="J112" t="s">
        <v>27</v>
      </c>
      <c r="K112" t="s">
        <v>25</v>
      </c>
      <c r="L112" t="s">
        <v>32</v>
      </c>
      <c r="M112" t="s">
        <v>23</v>
      </c>
      <c r="N112">
        <v>2</v>
      </c>
      <c r="R112" t="s">
        <v>13</v>
      </c>
      <c r="S112" t="s">
        <v>28</v>
      </c>
      <c r="T112">
        <v>196</v>
      </c>
      <c r="U112" t="str">
        <f>_xlfn.IFNA(_xlfn.IFS(E112&gt;Dash!$D$46, "Big", E112&lt;Dash!$D$49, "Small", E112&gt;Dash!$D$47, "Good"), "Norm")</f>
        <v>Small</v>
      </c>
      <c r="V112" t="s">
        <v>24</v>
      </c>
      <c r="W112">
        <v>170</v>
      </c>
      <c r="X112" t="s">
        <v>28</v>
      </c>
      <c r="Y112">
        <v>22.5</v>
      </c>
      <c r="Z112" t="str">
        <f>_xlfn.IFNA(_xlfn.IFS(Y112&gt;Dash!$E$46, "Big", Y112&lt;Dash!$E$49, "Small", Y112&gt;Dash!$E$47, "Good"), "Norm")</f>
        <v>Small</v>
      </c>
      <c r="AA112">
        <v>61</v>
      </c>
      <c r="AB112" t="str">
        <f>_xlfn.IFNA(_xlfn.IFS(AA112&gt;Dash!$F$46, "Big", AA112&lt;Dash!$F$49, "Small", AA112&gt;Dash!$F$47, "Good"), "Norm")</f>
        <v>Norm</v>
      </c>
      <c r="AC112">
        <v>102</v>
      </c>
      <c r="AD112" t="str">
        <f>_xlfn.IFNA(_xlfn.IFS(AC112&gt;Dash!$G$46, "Big", AC112&lt;Dash!$G$49, "Small", AC112&gt;Dash!$G$47, "Good"), "Norm")</f>
        <v>Small</v>
      </c>
      <c r="AE112">
        <v>69.25</v>
      </c>
      <c r="AF112" t="str">
        <f>_xlfn.IFNA(_xlfn.IFS(AE112&gt;Dash!$H$46, "Big", AE112&lt;Dash!$H$49, "Small", AE112&gt;Dash!$H$47, "Good"), "Norm")</f>
        <v>Small</v>
      </c>
      <c r="AG112">
        <v>13.75</v>
      </c>
      <c r="AH112" t="str">
        <f>_xlfn.IFNA(_xlfn.IFS(AG112&gt;Dash!$I$46, "Big", AG112&lt;Dash!$I$49, "Small", AG112&gt;Dash!$I$47, "Good"), "Norm")</f>
        <v>Small</v>
      </c>
    </row>
    <row r="113" spans="1:34" x14ac:dyDescent="0.25">
      <c r="A113" s="1">
        <v>45331</v>
      </c>
      <c r="B113" t="s">
        <v>26</v>
      </c>
      <c r="C113" t="s">
        <v>13</v>
      </c>
      <c r="D113" t="s">
        <v>28</v>
      </c>
      <c r="E113">
        <v>196</v>
      </c>
      <c r="F113">
        <v>300</v>
      </c>
      <c r="J113" t="s">
        <v>30</v>
      </c>
      <c r="K113" t="s">
        <v>31</v>
      </c>
      <c r="L113" t="s">
        <v>32</v>
      </c>
      <c r="M113" t="s">
        <v>23</v>
      </c>
      <c r="N113">
        <v>2</v>
      </c>
      <c r="R113" t="s">
        <v>33</v>
      </c>
      <c r="S113" t="s">
        <v>43</v>
      </c>
      <c r="T113">
        <v>185.25</v>
      </c>
      <c r="U113" t="str">
        <f>_xlfn.IFNA(_xlfn.IFS(E113&gt;Dash!$D$46, "Big", E113&lt;Dash!$D$49, "Small", E113&gt;Dash!$D$47, "Good"), "Norm")</f>
        <v>Norm</v>
      </c>
      <c r="V113" t="s">
        <v>33</v>
      </c>
      <c r="W113">
        <v>104.25</v>
      </c>
      <c r="X113" t="s">
        <v>28</v>
      </c>
      <c r="Y113">
        <v>25.75</v>
      </c>
      <c r="Z113" t="str">
        <f>_xlfn.IFNA(_xlfn.IFS(Y113&gt;Dash!$E$46, "Big", Y113&lt;Dash!$E$49, "Small", Y113&gt;Dash!$E$47, "Good"), "Norm")</f>
        <v>Small</v>
      </c>
      <c r="AA113">
        <v>77.75</v>
      </c>
      <c r="AB113" t="str">
        <f>_xlfn.IFNA(_xlfn.IFS(AA113&gt;Dash!$F$46, "Big", AA113&lt;Dash!$F$49, "Small", AA113&gt;Dash!$F$47, "Good"), "Norm")</f>
        <v>Norm</v>
      </c>
      <c r="AC113">
        <v>132.5</v>
      </c>
      <c r="AD113" t="str">
        <f>_xlfn.IFNA(_xlfn.IFS(AC113&gt;Dash!$G$46, "Big", AC113&lt;Dash!$G$49, "Small", AC113&gt;Dash!$G$47, "Good"), "Norm")</f>
        <v>Norm</v>
      </c>
      <c r="AE113">
        <v>93.25</v>
      </c>
      <c r="AF113" t="str">
        <f>_xlfn.IFNA(_xlfn.IFS(AE113&gt;Dash!$H$46, "Big", AE113&lt;Dash!$H$49, "Small", AE113&gt;Dash!$H$47, "Good"), "Norm")</f>
        <v>Norm</v>
      </c>
      <c r="AG113">
        <v>14</v>
      </c>
      <c r="AH113" t="str">
        <f>_xlfn.IFNA(_xlfn.IFS(AG113&gt;Dash!$I$46, "Big", AG113&lt;Dash!$I$49, "Small", AG113&gt;Dash!$I$47, "Good"), "Norm")</f>
        <v>Small</v>
      </c>
    </row>
    <row r="114" spans="1:34" x14ac:dyDescent="0.25">
      <c r="A114" s="1">
        <v>45334</v>
      </c>
      <c r="B114" t="s">
        <v>23</v>
      </c>
      <c r="C114" t="s">
        <v>33</v>
      </c>
      <c r="D114" t="s">
        <v>43</v>
      </c>
      <c r="E114">
        <v>185.25</v>
      </c>
      <c r="F114">
        <v>1000</v>
      </c>
      <c r="G114">
        <v>1300</v>
      </c>
      <c r="J114" t="s">
        <v>27</v>
      </c>
      <c r="K114" t="s">
        <v>35</v>
      </c>
      <c r="L114" t="s">
        <v>42</v>
      </c>
      <c r="M114" t="s">
        <v>19</v>
      </c>
      <c r="N114">
        <v>10</v>
      </c>
      <c r="R114" t="s">
        <v>20</v>
      </c>
      <c r="S114" t="s">
        <v>14</v>
      </c>
      <c r="T114">
        <v>328</v>
      </c>
      <c r="U114" t="str">
        <f>_xlfn.IFNA(_xlfn.IFS(E114&gt;Dash!$D$46, "Big", E114&lt;Dash!$D$49, "Small", E114&gt;Dash!$D$47, "Good"), "Norm")</f>
        <v>Norm</v>
      </c>
      <c r="V114" t="s">
        <v>13</v>
      </c>
      <c r="W114">
        <v>196</v>
      </c>
      <c r="X114" t="s">
        <v>28</v>
      </c>
      <c r="Y114">
        <v>40.75</v>
      </c>
      <c r="Z114" t="str">
        <f>_xlfn.IFNA(_xlfn.IFS(Y114&gt;Dash!$E$46, "Big", Y114&lt;Dash!$E$49, "Small", Y114&gt;Dash!$E$47, "Good"), "Norm")</f>
        <v>Small</v>
      </c>
      <c r="AA114">
        <v>38.75</v>
      </c>
      <c r="AB114" t="str">
        <f>_xlfn.IFNA(_xlfn.IFS(AA114&gt;Dash!$F$46, "Big", AA114&lt;Dash!$F$49, "Small", AA114&gt;Dash!$F$47, "Good"), "Norm")</f>
        <v>Small</v>
      </c>
      <c r="AC114">
        <v>114.25</v>
      </c>
      <c r="AD114" t="str">
        <f>_xlfn.IFNA(_xlfn.IFS(AC114&gt;Dash!$G$46, "Big", AC114&lt;Dash!$G$49, "Small", AC114&gt;Dash!$G$47, "Good"), "Norm")</f>
        <v>Small</v>
      </c>
      <c r="AE114">
        <v>173</v>
      </c>
      <c r="AF114" t="str">
        <f>_xlfn.IFNA(_xlfn.IFS(AE114&gt;Dash!$H$46, "Big", AE114&lt;Dash!$H$49, "Small", AE114&gt;Dash!$H$47, "Good"), "Norm")</f>
        <v>Good</v>
      </c>
      <c r="AG114">
        <v>56.75</v>
      </c>
      <c r="AH114" t="str">
        <f>_xlfn.IFNA(_xlfn.IFS(AG114&gt;Dash!$I$46, "Big", AG114&lt;Dash!$I$49, "Small", AG114&gt;Dash!$I$47, "Good"), "Norm")</f>
        <v>Good</v>
      </c>
    </row>
    <row r="115" spans="1:34" x14ac:dyDescent="0.25">
      <c r="A115" s="1">
        <v>45335</v>
      </c>
      <c r="B115" t="s">
        <v>19</v>
      </c>
      <c r="C115" t="s">
        <v>20</v>
      </c>
      <c r="D115" t="s">
        <v>14</v>
      </c>
      <c r="E115">
        <v>328</v>
      </c>
      <c r="F115">
        <v>300</v>
      </c>
      <c r="J115" t="s">
        <v>15</v>
      </c>
      <c r="K115" t="s">
        <v>22</v>
      </c>
      <c r="L115" t="s">
        <v>17</v>
      </c>
      <c r="M115" t="s">
        <v>19</v>
      </c>
      <c r="N115">
        <v>10</v>
      </c>
      <c r="R115" t="s">
        <v>13</v>
      </c>
      <c r="S115">
        <v>1</v>
      </c>
      <c r="T115">
        <v>196.75</v>
      </c>
      <c r="U115" t="str">
        <f>_xlfn.IFNA(_xlfn.IFS(E115&gt;Dash!$D$46, "Big", E115&lt;Dash!$D$49, "Small", E115&gt;Dash!$D$47, "Good"), "Norm")</f>
        <v>Good</v>
      </c>
      <c r="V115" t="s">
        <v>33</v>
      </c>
      <c r="W115">
        <v>185.25</v>
      </c>
      <c r="X115" t="s">
        <v>43</v>
      </c>
      <c r="Y115">
        <v>43.25</v>
      </c>
      <c r="Z115" t="str">
        <f>_xlfn.IFNA(_xlfn.IFS(Y115&gt;Dash!$E$46, "Big", Y115&lt;Dash!$E$49, "Small", Y115&gt;Dash!$E$47, "Good"), "Norm")</f>
        <v>Norm</v>
      </c>
      <c r="AA115">
        <v>156.25</v>
      </c>
      <c r="AB115" t="str">
        <f>_xlfn.IFNA(_xlfn.IFS(AA115&gt;Dash!$F$46, "Big", AA115&lt;Dash!$F$49, "Small", AA115&gt;Dash!$F$47, "Good"), "Norm")</f>
        <v>Big</v>
      </c>
      <c r="AC115">
        <v>283.25</v>
      </c>
      <c r="AD115" t="str">
        <f>_xlfn.IFNA(_xlfn.IFS(AC115&gt;Dash!$G$46, "Big", AC115&lt;Dash!$G$49, "Small", AC115&gt;Dash!$G$47, "Good"), "Norm")</f>
        <v>Good</v>
      </c>
      <c r="AE115">
        <v>186</v>
      </c>
      <c r="AF115" t="str">
        <f>_xlfn.IFNA(_xlfn.IFS(AE115&gt;Dash!$H$46, "Big", AE115&lt;Dash!$H$49, "Small", AE115&gt;Dash!$H$47, "Good"), "Norm")</f>
        <v>Good</v>
      </c>
      <c r="AG115">
        <v>32</v>
      </c>
      <c r="AH115" t="str">
        <f>_xlfn.IFNA(_xlfn.IFS(AG115&gt;Dash!$I$46, "Big", AG115&lt;Dash!$I$49, "Small", AG115&gt;Dash!$I$47, "Good"), "Norm")</f>
        <v>Norm</v>
      </c>
    </row>
    <row r="116" spans="1:34" x14ac:dyDescent="0.25">
      <c r="A116" s="1">
        <v>45336</v>
      </c>
      <c r="B116" t="s">
        <v>18</v>
      </c>
      <c r="C116" t="s">
        <v>13</v>
      </c>
      <c r="D116">
        <v>1</v>
      </c>
      <c r="E116">
        <v>196.75</v>
      </c>
      <c r="J116" t="s">
        <v>34</v>
      </c>
      <c r="K116" t="s">
        <v>31</v>
      </c>
      <c r="L116" t="s">
        <v>32</v>
      </c>
      <c r="M116" t="s">
        <v>19</v>
      </c>
      <c r="N116">
        <v>10</v>
      </c>
      <c r="R116" t="s">
        <v>33</v>
      </c>
      <c r="S116" t="s">
        <v>28</v>
      </c>
      <c r="T116">
        <v>153</v>
      </c>
      <c r="U116" t="str">
        <f>_xlfn.IFNA(_xlfn.IFS(E116&gt;Dash!$D$46, "Big", E116&lt;Dash!$D$49, "Small", E116&gt;Dash!$D$47, "Good"), "Norm")</f>
        <v>Norm</v>
      </c>
      <c r="V116" t="s">
        <v>20</v>
      </c>
      <c r="W116">
        <v>328</v>
      </c>
      <c r="X116" t="s">
        <v>14</v>
      </c>
      <c r="Y116">
        <v>36.25</v>
      </c>
      <c r="Z116" t="str">
        <f>_xlfn.IFNA(_xlfn.IFS(Y116&gt;Dash!$E$46, "Big", Y116&lt;Dash!$E$49, "Small", Y116&gt;Dash!$E$47, "Good"), "Norm")</f>
        <v>Small</v>
      </c>
      <c r="AA116">
        <v>119</v>
      </c>
      <c r="AB116" t="str">
        <f>_xlfn.IFNA(_xlfn.IFS(AA116&gt;Dash!$F$46, "Big", AA116&lt;Dash!$F$49, "Small", AA116&gt;Dash!$F$47, "Good"), "Norm")</f>
        <v>Good</v>
      </c>
      <c r="AC116">
        <v>143</v>
      </c>
      <c r="AD116" t="str">
        <f>_xlfn.IFNA(_xlfn.IFS(AC116&gt;Dash!$G$46, "Big", AC116&lt;Dash!$G$49, "Small", AC116&gt;Dash!$G$47, "Good"), "Norm")</f>
        <v>Norm</v>
      </c>
      <c r="AE116">
        <v>196.75</v>
      </c>
      <c r="AF116" t="str">
        <f>_xlfn.IFNA(_xlfn.IFS(AE116&gt;Dash!$H$46, "Big", AE116&lt;Dash!$H$49, "Small", AE116&gt;Dash!$H$47, "Good"), "Norm")</f>
        <v>Good</v>
      </c>
      <c r="AG116">
        <v>22.25</v>
      </c>
      <c r="AH116" t="str">
        <f>_xlfn.IFNA(_xlfn.IFS(AG116&gt;Dash!$I$46, "Big", AG116&lt;Dash!$I$49, "Small", AG116&gt;Dash!$I$47, "Good"), "Norm")</f>
        <v>Norm</v>
      </c>
    </row>
    <row r="117" spans="1:34" x14ac:dyDescent="0.25">
      <c r="A117" s="1">
        <v>45337</v>
      </c>
      <c r="B117" t="s">
        <v>36</v>
      </c>
      <c r="C117" t="s">
        <v>33</v>
      </c>
      <c r="D117" t="s">
        <v>28</v>
      </c>
      <c r="E117">
        <v>153</v>
      </c>
      <c r="F117">
        <v>100</v>
      </c>
      <c r="G117">
        <v>900</v>
      </c>
      <c r="J117" t="s">
        <v>29</v>
      </c>
      <c r="K117" t="s">
        <v>25</v>
      </c>
      <c r="L117" t="s">
        <v>44</v>
      </c>
      <c r="M117" t="s">
        <v>19</v>
      </c>
      <c r="N117">
        <v>10</v>
      </c>
      <c r="R117" t="s">
        <v>41</v>
      </c>
      <c r="S117" t="s">
        <v>48</v>
      </c>
      <c r="T117">
        <v>292.75</v>
      </c>
      <c r="U117" t="str">
        <f>_xlfn.IFNA(_xlfn.IFS(E117&gt;Dash!$D$46, "Big", E117&lt;Dash!$D$49, "Small", E117&gt;Dash!$D$47, "Good"), "Norm")</f>
        <v>Small</v>
      </c>
      <c r="V117" t="s">
        <v>13</v>
      </c>
      <c r="W117">
        <v>196.75</v>
      </c>
      <c r="X117">
        <v>1</v>
      </c>
      <c r="Y117">
        <v>56.5</v>
      </c>
      <c r="Z117" t="str">
        <f>_xlfn.IFNA(_xlfn.IFS(Y117&gt;Dash!$E$46, "Big", Y117&lt;Dash!$E$49, "Small", Y117&gt;Dash!$E$47, "Good"), "Norm")</f>
        <v>Norm</v>
      </c>
      <c r="AA117">
        <v>45</v>
      </c>
      <c r="AB117" t="str">
        <f>_xlfn.IFNA(_xlfn.IFS(AA117&gt;Dash!$F$46, "Big", AA117&lt;Dash!$F$49, "Small", AA117&gt;Dash!$F$47, "Good"), "Norm")</f>
        <v>Small</v>
      </c>
      <c r="AC117">
        <v>153</v>
      </c>
      <c r="AD117" t="str">
        <f>_xlfn.IFNA(_xlfn.IFS(AC117&gt;Dash!$G$46, "Big", AC117&lt;Dash!$G$49, "Small", AC117&gt;Dash!$G$47, "Good"), "Norm")</f>
        <v>Norm</v>
      </c>
      <c r="AE117">
        <v>113.5</v>
      </c>
      <c r="AF117" t="str">
        <f>_xlfn.IFNA(_xlfn.IFS(AE117&gt;Dash!$H$46, "Big", AE117&lt;Dash!$H$49, "Small", AE117&gt;Dash!$H$47, "Good"), "Norm")</f>
        <v>Norm</v>
      </c>
      <c r="AG117">
        <v>56.75</v>
      </c>
      <c r="AH117" t="str">
        <f>_xlfn.IFNA(_xlfn.IFS(AG117&gt;Dash!$I$46, "Big", AG117&lt;Dash!$I$49, "Small", AG117&gt;Dash!$I$47, "Good"), "Norm")</f>
        <v>Good</v>
      </c>
    </row>
    <row r="118" spans="1:34" x14ac:dyDescent="0.25">
      <c r="A118" s="1">
        <v>45338</v>
      </c>
      <c r="B118" t="s">
        <v>26</v>
      </c>
      <c r="C118" t="s">
        <v>41</v>
      </c>
      <c r="D118" t="s">
        <v>48</v>
      </c>
      <c r="E118">
        <v>292.75</v>
      </c>
      <c r="F118">
        <v>200</v>
      </c>
      <c r="G118">
        <v>800</v>
      </c>
      <c r="H118">
        <v>900</v>
      </c>
      <c r="I118">
        <v>1000</v>
      </c>
      <c r="J118" t="s">
        <v>30</v>
      </c>
      <c r="K118" t="s">
        <v>22</v>
      </c>
      <c r="L118" t="s">
        <v>25</v>
      </c>
      <c r="M118" t="s">
        <v>19</v>
      </c>
      <c r="N118">
        <v>10</v>
      </c>
      <c r="O118" t="s">
        <v>61</v>
      </c>
      <c r="R118" t="s">
        <v>13</v>
      </c>
      <c r="S118" t="s">
        <v>14</v>
      </c>
      <c r="T118">
        <v>271.5</v>
      </c>
      <c r="U118" t="str">
        <f>_xlfn.IFNA(_xlfn.IFS(E118&gt;Dash!$D$46, "Big", E118&lt;Dash!$D$49, "Small", E118&gt;Dash!$D$47, "Good"), "Norm")</f>
        <v>Good</v>
      </c>
      <c r="V118" t="s">
        <v>33</v>
      </c>
      <c r="W118">
        <v>153</v>
      </c>
      <c r="X118" t="s">
        <v>28</v>
      </c>
      <c r="Y118">
        <v>47.75</v>
      </c>
      <c r="Z118" t="str">
        <f>_xlfn.IFNA(_xlfn.IFS(Y118&gt;Dash!$E$46, "Big", Y118&lt;Dash!$E$49, "Small", Y118&gt;Dash!$E$47, "Good"), "Norm")</f>
        <v>Norm</v>
      </c>
      <c r="AA118">
        <v>78.5</v>
      </c>
      <c r="AB118" t="str">
        <f>_xlfn.IFNA(_xlfn.IFS(AA118&gt;Dash!$F$46, "Big", AA118&lt;Dash!$F$49, "Small", AA118&gt;Dash!$F$47, "Good"), "Norm")</f>
        <v>Norm</v>
      </c>
      <c r="AC118">
        <v>292.75</v>
      </c>
      <c r="AD118" t="str">
        <f>_xlfn.IFNA(_xlfn.IFS(AC118&gt;Dash!$G$46, "Big", AC118&lt;Dash!$G$49, "Small", AC118&gt;Dash!$G$47, "Good"), "Norm")</f>
        <v>Good</v>
      </c>
      <c r="AE118">
        <v>181.25</v>
      </c>
      <c r="AF118" t="str">
        <f>_xlfn.IFNA(_xlfn.IFS(AE118&gt;Dash!$H$46, "Big", AE118&lt;Dash!$H$49, "Small", AE118&gt;Dash!$H$47, "Good"), "Norm")</f>
        <v>Good</v>
      </c>
      <c r="AG118">
        <v>36.5</v>
      </c>
      <c r="AH118" t="str">
        <f>_xlfn.IFNA(_xlfn.IFS(AG118&gt;Dash!$I$46, "Big", AG118&lt;Dash!$I$49, "Small", AG118&gt;Dash!$I$47, "Good"), "Norm")</f>
        <v>Norm</v>
      </c>
    </row>
    <row r="119" spans="1:34" x14ac:dyDescent="0.25">
      <c r="A119" s="1">
        <v>45342</v>
      </c>
      <c r="B119" t="s">
        <v>19</v>
      </c>
      <c r="C119" t="s">
        <v>13</v>
      </c>
      <c r="D119" t="s">
        <v>14</v>
      </c>
      <c r="E119">
        <v>271.5</v>
      </c>
      <c r="F119">
        <v>2000</v>
      </c>
      <c r="G119">
        <v>200</v>
      </c>
      <c r="J119" t="s">
        <v>37</v>
      </c>
      <c r="K119" t="s">
        <v>16</v>
      </c>
      <c r="L119" t="s">
        <v>17</v>
      </c>
      <c r="M119" t="s">
        <v>18</v>
      </c>
      <c r="N119">
        <v>4</v>
      </c>
      <c r="R119" t="s">
        <v>33</v>
      </c>
      <c r="S119" t="s">
        <v>46</v>
      </c>
      <c r="T119">
        <v>169.75</v>
      </c>
      <c r="U119" t="str">
        <f>_xlfn.IFNA(_xlfn.IFS(E119&gt;Dash!$D$46, "Big", E119&lt;Dash!$D$49, "Small", E119&gt;Dash!$D$47, "Good"), "Norm")</f>
        <v>Good</v>
      </c>
      <c r="V119" t="s">
        <v>41</v>
      </c>
      <c r="W119">
        <v>292.75</v>
      </c>
      <c r="X119" t="s">
        <v>48</v>
      </c>
      <c r="Y119">
        <v>125.75</v>
      </c>
      <c r="Z119" t="str">
        <f>_xlfn.IFNA(_xlfn.IFS(Y119&gt;Dash!$E$46, "Big", Y119&lt;Dash!$E$49, "Small", Y119&gt;Dash!$E$47, "Good"), "Norm")</f>
        <v>Good</v>
      </c>
      <c r="AA119">
        <v>110.75</v>
      </c>
      <c r="AB119" t="str">
        <f>_xlfn.IFNA(_xlfn.IFS(AA119&gt;Dash!$F$46, "Big", AA119&lt;Dash!$F$49, "Small", AA119&gt;Dash!$F$47, "Good"), "Norm")</f>
        <v>Good</v>
      </c>
      <c r="AC119">
        <v>242</v>
      </c>
      <c r="AD119" t="str">
        <f>_xlfn.IFNA(_xlfn.IFS(AC119&gt;Dash!$G$46, "Big", AC119&lt;Dash!$G$49, "Small", AC119&gt;Dash!$G$47, "Good"), "Norm")</f>
        <v>Good</v>
      </c>
      <c r="AE119">
        <v>162</v>
      </c>
      <c r="AF119" t="str">
        <f>_xlfn.IFNA(_xlfn.IFS(AE119&gt;Dash!$H$46, "Big", AE119&lt;Dash!$H$49, "Small", AE119&gt;Dash!$H$47, "Good"), "Norm")</f>
        <v>Good</v>
      </c>
      <c r="AG119">
        <v>39</v>
      </c>
      <c r="AH119" t="str">
        <f>_xlfn.IFNA(_xlfn.IFS(AG119&gt;Dash!$I$46, "Big", AG119&lt;Dash!$I$49, "Small", AG119&gt;Dash!$I$47, "Good"), "Norm")</f>
        <v>Good</v>
      </c>
    </row>
    <row r="120" spans="1:34" x14ac:dyDescent="0.25">
      <c r="A120" s="1">
        <v>45343</v>
      </c>
      <c r="B120" t="s">
        <v>18</v>
      </c>
      <c r="C120" t="s">
        <v>33</v>
      </c>
      <c r="D120" t="s">
        <v>46</v>
      </c>
      <c r="E120">
        <v>169.75</v>
      </c>
      <c r="F120">
        <v>2000</v>
      </c>
      <c r="G120">
        <v>2000</v>
      </c>
      <c r="J120" t="s">
        <v>45</v>
      </c>
      <c r="K120" t="s">
        <v>17</v>
      </c>
      <c r="L120" t="s">
        <v>44</v>
      </c>
      <c r="M120" t="s">
        <v>18</v>
      </c>
      <c r="N120">
        <v>4</v>
      </c>
      <c r="O120" t="s">
        <v>66</v>
      </c>
      <c r="R120" t="s">
        <v>13</v>
      </c>
      <c r="S120" t="s">
        <v>28</v>
      </c>
      <c r="T120">
        <v>223</v>
      </c>
      <c r="U120" t="str">
        <f>_xlfn.IFNA(_xlfn.IFS(E120&gt;Dash!$D$46, "Big", E120&lt;Dash!$D$49, "Small", E120&gt;Dash!$D$47, "Good"), "Norm")</f>
        <v>Norm</v>
      </c>
      <c r="V120" t="s">
        <v>13</v>
      </c>
      <c r="W120">
        <v>271.5</v>
      </c>
      <c r="X120" t="s">
        <v>14</v>
      </c>
      <c r="Y120">
        <v>51.5</v>
      </c>
      <c r="Z120" t="str">
        <f>_xlfn.IFNA(_xlfn.IFS(Y120&gt;Dash!$E$46, "Big", Y120&lt;Dash!$E$49, "Small", Y120&gt;Dash!$E$47, "Good"), "Norm")</f>
        <v>Norm</v>
      </c>
      <c r="AA120">
        <v>102</v>
      </c>
      <c r="AB120" t="str">
        <f>_xlfn.IFNA(_xlfn.IFS(AA120&gt;Dash!$F$46, "Big", AA120&lt;Dash!$F$49, "Small", AA120&gt;Dash!$F$47, "Good"), "Norm")</f>
        <v>Good</v>
      </c>
      <c r="AC120">
        <v>77.25</v>
      </c>
      <c r="AD120" t="str">
        <f>_xlfn.IFNA(_xlfn.IFS(AC120&gt;Dash!$G$46, "Big", AC120&lt;Dash!$G$49, "Small", AC120&gt;Dash!$G$47, "Good"), "Norm")</f>
        <v>Small</v>
      </c>
      <c r="AE120">
        <v>169.75</v>
      </c>
      <c r="AF120" t="str">
        <f>_xlfn.IFNA(_xlfn.IFS(AE120&gt;Dash!$H$46, "Big", AE120&lt;Dash!$H$49, "Small", AE120&gt;Dash!$H$47, "Good"), "Norm")</f>
        <v>Good</v>
      </c>
      <c r="AG120">
        <v>310.75</v>
      </c>
      <c r="AH120" t="str">
        <f>_xlfn.IFNA(_xlfn.IFS(AG120&gt;Dash!$I$46, "Big", AG120&lt;Dash!$I$49, "Small", AG120&gt;Dash!$I$47, "Good"), "Norm")</f>
        <v>Big</v>
      </c>
    </row>
    <row r="121" spans="1:34" x14ac:dyDescent="0.25">
      <c r="A121" s="1">
        <v>45344</v>
      </c>
      <c r="B121" t="s">
        <v>36</v>
      </c>
      <c r="C121" t="s">
        <v>13</v>
      </c>
      <c r="D121" t="s">
        <v>28</v>
      </c>
      <c r="E121">
        <v>223</v>
      </c>
      <c r="F121">
        <v>1900</v>
      </c>
      <c r="J121" t="s">
        <v>29</v>
      </c>
      <c r="K121" t="s">
        <v>31</v>
      </c>
      <c r="L121" t="s">
        <v>32</v>
      </c>
      <c r="M121" t="s">
        <v>18</v>
      </c>
      <c r="N121">
        <v>4</v>
      </c>
      <c r="R121" t="s">
        <v>33</v>
      </c>
      <c r="S121" t="s">
        <v>43</v>
      </c>
      <c r="T121">
        <v>198.75</v>
      </c>
      <c r="U121" t="str">
        <f>_xlfn.IFNA(_xlfn.IFS(E121&gt;Dash!$D$46, "Big", E121&lt;Dash!$D$49, "Small", E121&gt;Dash!$D$47, "Good"), "Norm")</f>
        <v>Norm</v>
      </c>
      <c r="V121" t="s">
        <v>33</v>
      </c>
      <c r="W121">
        <v>169.75</v>
      </c>
      <c r="X121" t="s">
        <v>46</v>
      </c>
      <c r="Y121">
        <v>154</v>
      </c>
      <c r="Z121" t="str">
        <f>_xlfn.IFNA(_xlfn.IFS(Y121&gt;Dash!$E$46, "Big", Y121&lt;Dash!$E$49, "Small", Y121&gt;Dash!$E$47, "Good"), "Norm")</f>
        <v>Big</v>
      </c>
      <c r="AA121">
        <v>113.5</v>
      </c>
      <c r="AB121" t="str">
        <f>_xlfn.IFNA(_xlfn.IFS(AA121&gt;Dash!$F$46, "Big", AA121&lt;Dash!$F$49, "Small", AA121&gt;Dash!$F$47, "Good"), "Norm")</f>
        <v>Good</v>
      </c>
      <c r="AC121">
        <v>117</v>
      </c>
      <c r="AD121" t="str">
        <f>_xlfn.IFNA(_xlfn.IFS(AC121&gt;Dash!$G$46, "Big", AC121&lt;Dash!$G$49, "Small", AC121&gt;Dash!$G$47, "Good"), "Norm")</f>
        <v>Norm</v>
      </c>
      <c r="AE121">
        <v>151.75</v>
      </c>
      <c r="AF121" t="str">
        <f>_xlfn.IFNA(_xlfn.IFS(AE121&gt;Dash!$H$46, "Big", AE121&lt;Dash!$H$49, "Small", AE121&gt;Dash!$H$47, "Good"), "Norm")</f>
        <v>Good</v>
      </c>
      <c r="AG121">
        <v>37</v>
      </c>
      <c r="AH121" t="str">
        <f>_xlfn.IFNA(_xlfn.IFS(AG121&gt;Dash!$I$46, "Big", AG121&lt;Dash!$I$49, "Small", AG121&gt;Dash!$I$47, "Good"), "Norm")</f>
        <v>Norm</v>
      </c>
    </row>
    <row r="122" spans="1:34" x14ac:dyDescent="0.25">
      <c r="A122" s="1">
        <v>45345</v>
      </c>
      <c r="B122" t="s">
        <v>26</v>
      </c>
      <c r="C122" t="s">
        <v>33</v>
      </c>
      <c r="D122" t="s">
        <v>43</v>
      </c>
      <c r="E122">
        <v>198.75</v>
      </c>
      <c r="F122">
        <v>900</v>
      </c>
      <c r="G122">
        <v>900</v>
      </c>
      <c r="J122" t="s">
        <v>27</v>
      </c>
      <c r="K122" t="s">
        <v>35</v>
      </c>
      <c r="L122" t="s">
        <v>25</v>
      </c>
      <c r="M122" t="s">
        <v>18</v>
      </c>
      <c r="N122">
        <v>4</v>
      </c>
      <c r="R122" t="s">
        <v>24</v>
      </c>
      <c r="S122" t="s">
        <v>14</v>
      </c>
      <c r="T122">
        <v>93.5</v>
      </c>
      <c r="U122" t="str">
        <f>_xlfn.IFNA(_xlfn.IFS(E122&gt;Dash!$D$46, "Big", E122&lt;Dash!$D$49, "Small", E122&gt;Dash!$D$47, "Good"), "Norm")</f>
        <v>Norm</v>
      </c>
      <c r="V122" t="s">
        <v>13</v>
      </c>
      <c r="W122">
        <v>223</v>
      </c>
      <c r="X122" t="s">
        <v>28</v>
      </c>
      <c r="Y122">
        <v>39.25</v>
      </c>
      <c r="Z122" t="str">
        <f>_xlfn.IFNA(_xlfn.IFS(Y122&gt;Dash!$E$46, "Big", Y122&lt;Dash!$E$49, "Small", Y122&gt;Dash!$E$47, "Good"), "Norm")</f>
        <v>Small</v>
      </c>
      <c r="AA122">
        <v>50.75</v>
      </c>
      <c r="AB122" t="str">
        <f>_xlfn.IFNA(_xlfn.IFS(AA122&gt;Dash!$F$46, "Big", AA122&lt;Dash!$F$49, "Small", AA122&gt;Dash!$F$47, "Good"), "Norm")</f>
        <v>Small</v>
      </c>
      <c r="AC122">
        <v>198.75</v>
      </c>
      <c r="AD122" t="str">
        <f>_xlfn.IFNA(_xlfn.IFS(AC122&gt;Dash!$G$46, "Big", AC122&lt;Dash!$G$49, "Small", AC122&gt;Dash!$G$47, "Good"), "Norm")</f>
        <v>Norm</v>
      </c>
      <c r="AE122">
        <v>100.5</v>
      </c>
      <c r="AF122" t="str">
        <f>_xlfn.IFNA(_xlfn.IFS(AE122&gt;Dash!$H$46, "Big", AE122&lt;Dash!$H$49, "Small", AE122&gt;Dash!$H$47, "Good"), "Norm")</f>
        <v>Norm</v>
      </c>
      <c r="AG122">
        <v>32</v>
      </c>
      <c r="AH122" t="str">
        <f>_xlfn.IFNA(_xlfn.IFS(AG122&gt;Dash!$I$46, "Big", AG122&lt;Dash!$I$49, "Small", AG122&gt;Dash!$I$47, "Good"), "Norm")</f>
        <v>Norm</v>
      </c>
    </row>
    <row r="123" spans="1:34" x14ac:dyDescent="0.25">
      <c r="A123" s="1">
        <v>45348</v>
      </c>
      <c r="B123" t="s">
        <v>23</v>
      </c>
      <c r="C123" t="s">
        <v>24</v>
      </c>
      <c r="D123" t="s">
        <v>14</v>
      </c>
      <c r="E123">
        <v>93.5</v>
      </c>
      <c r="F123">
        <v>1800</v>
      </c>
      <c r="G123">
        <v>1800</v>
      </c>
      <c r="J123" t="s">
        <v>37</v>
      </c>
      <c r="K123" t="s">
        <v>31</v>
      </c>
      <c r="L123" t="s">
        <v>35</v>
      </c>
      <c r="M123" t="s">
        <v>18</v>
      </c>
      <c r="N123">
        <v>7</v>
      </c>
      <c r="R123" t="s">
        <v>20</v>
      </c>
      <c r="S123" t="s">
        <v>46</v>
      </c>
      <c r="T123">
        <v>125</v>
      </c>
      <c r="U123" t="str">
        <f>_xlfn.IFNA(_xlfn.IFS(E123&gt;Dash!$D$46, "Big", E123&lt;Dash!$D$49, "Small", E123&gt;Dash!$D$47, "Good"), "Norm")</f>
        <v>Small</v>
      </c>
      <c r="V123" t="s">
        <v>33</v>
      </c>
      <c r="W123">
        <v>198.75</v>
      </c>
      <c r="X123" t="s">
        <v>43</v>
      </c>
      <c r="Y123">
        <v>66.25</v>
      </c>
      <c r="Z123" t="str">
        <f>_xlfn.IFNA(_xlfn.IFS(Y123&gt;Dash!$E$46, "Big", Y123&lt;Dash!$E$49, "Small", Y123&gt;Dash!$E$47, "Good"), "Norm")</f>
        <v>Norm</v>
      </c>
      <c r="AA123">
        <v>76</v>
      </c>
      <c r="AB123" t="str">
        <f>_xlfn.IFNA(_xlfn.IFS(AA123&gt;Dash!$F$46, "Big", AA123&lt;Dash!$F$49, "Small", AA123&gt;Dash!$F$47, "Good"), "Norm")</f>
        <v>Norm</v>
      </c>
      <c r="AC123">
        <v>92.75</v>
      </c>
      <c r="AD123" t="str">
        <f>_xlfn.IFNA(_xlfn.IFS(AC123&gt;Dash!$G$46, "Big", AC123&lt;Dash!$G$49, "Small", AC123&gt;Dash!$G$47, "Good"), "Norm")</f>
        <v>Small</v>
      </c>
      <c r="AE123">
        <v>86.25</v>
      </c>
      <c r="AF123" t="str">
        <f>_xlfn.IFNA(_xlfn.IFS(AE123&gt;Dash!$H$46, "Big", AE123&lt;Dash!$H$49, "Small", AE123&gt;Dash!$H$47, "Good"), "Norm")</f>
        <v>Small</v>
      </c>
      <c r="AG123">
        <v>32.5</v>
      </c>
      <c r="AH123" t="str">
        <f>_xlfn.IFNA(_xlfn.IFS(AG123&gt;Dash!$I$46, "Big", AG123&lt;Dash!$I$49, "Small", AG123&gt;Dash!$I$47, "Good"), "Norm")</f>
        <v>Norm</v>
      </c>
    </row>
    <row r="124" spans="1:34" x14ac:dyDescent="0.25">
      <c r="A124" s="1">
        <v>45349</v>
      </c>
      <c r="B124" t="s">
        <v>19</v>
      </c>
      <c r="C124" t="s">
        <v>20</v>
      </c>
      <c r="D124" t="s">
        <v>46</v>
      </c>
      <c r="E124">
        <v>125</v>
      </c>
      <c r="F124">
        <v>1200</v>
      </c>
      <c r="G124">
        <v>1300</v>
      </c>
      <c r="J124" t="s">
        <v>21</v>
      </c>
      <c r="K124" t="s">
        <v>22</v>
      </c>
      <c r="L124" t="s">
        <v>17</v>
      </c>
      <c r="M124" t="s">
        <v>19</v>
      </c>
      <c r="N124">
        <v>7</v>
      </c>
      <c r="R124" t="s">
        <v>13</v>
      </c>
      <c r="S124" t="s">
        <v>14</v>
      </c>
      <c r="T124">
        <v>99</v>
      </c>
      <c r="U124" t="str">
        <f>_xlfn.IFNA(_xlfn.IFS(E124&gt;Dash!$D$46, "Big", E124&lt;Dash!$D$49, "Small", E124&gt;Dash!$D$47, "Good"), "Norm")</f>
        <v>Small</v>
      </c>
      <c r="V124" t="s">
        <v>24</v>
      </c>
      <c r="W124">
        <v>93.5</v>
      </c>
      <c r="X124" t="s">
        <v>14</v>
      </c>
      <c r="Y124">
        <v>42.5</v>
      </c>
      <c r="Z124" t="str">
        <f>_xlfn.IFNA(_xlfn.IFS(Y124&gt;Dash!$E$46, "Big", Y124&lt;Dash!$E$49, "Small", Y124&gt;Dash!$E$47, "Good"), "Norm")</f>
        <v>Norm</v>
      </c>
      <c r="AA124">
        <v>98</v>
      </c>
      <c r="AB124" t="str">
        <f>_xlfn.IFNA(_xlfn.IFS(AA124&gt;Dash!$F$46, "Big", AA124&lt;Dash!$F$49, "Small", AA124&gt;Dash!$F$47, "Good"), "Norm")</f>
        <v>Good</v>
      </c>
      <c r="AC124">
        <v>92.75</v>
      </c>
      <c r="AD124" t="str">
        <f>_xlfn.IFNA(_xlfn.IFS(AC124&gt;Dash!$G$46, "Big", AC124&lt;Dash!$G$49, "Small", AC124&gt;Dash!$G$47, "Good"), "Norm")</f>
        <v>Small</v>
      </c>
      <c r="AE124">
        <v>122.5</v>
      </c>
      <c r="AF124" t="str">
        <f>_xlfn.IFNA(_xlfn.IFS(AE124&gt;Dash!$H$46, "Big", AE124&lt;Dash!$H$49, "Small", AE124&gt;Dash!$H$47, "Good"), "Norm")</f>
        <v>Norm</v>
      </c>
      <c r="AG124">
        <v>18.5</v>
      </c>
      <c r="AH124" t="str">
        <f>_xlfn.IFNA(_xlfn.IFS(AG124&gt;Dash!$I$46, "Big", AG124&lt;Dash!$I$49, "Small", AG124&gt;Dash!$I$47, "Good"), "Norm")</f>
        <v>Small</v>
      </c>
    </row>
    <row r="125" spans="1:34" x14ac:dyDescent="0.25">
      <c r="A125" s="1">
        <v>45350</v>
      </c>
      <c r="B125" t="s">
        <v>18</v>
      </c>
      <c r="C125" t="s">
        <v>13</v>
      </c>
      <c r="D125" t="s">
        <v>14</v>
      </c>
      <c r="E125">
        <v>99</v>
      </c>
      <c r="F125">
        <v>400</v>
      </c>
      <c r="G125">
        <v>500</v>
      </c>
      <c r="J125" t="s">
        <v>15</v>
      </c>
      <c r="K125" t="s">
        <v>16</v>
      </c>
      <c r="L125" t="s">
        <v>42</v>
      </c>
      <c r="M125" t="s">
        <v>19</v>
      </c>
      <c r="N125">
        <v>7</v>
      </c>
      <c r="R125" t="s">
        <v>20</v>
      </c>
      <c r="S125" t="s">
        <v>38</v>
      </c>
      <c r="T125">
        <v>250</v>
      </c>
      <c r="U125" t="str">
        <f>_xlfn.IFNA(_xlfn.IFS(E125&gt;Dash!$D$46, "Big", E125&lt;Dash!$D$49, "Small", E125&gt;Dash!$D$47, "Good"), "Norm")</f>
        <v>Small</v>
      </c>
      <c r="V125" t="s">
        <v>20</v>
      </c>
      <c r="W125">
        <v>125</v>
      </c>
      <c r="X125" t="s">
        <v>46</v>
      </c>
      <c r="Y125">
        <v>37.75</v>
      </c>
      <c r="Z125" t="str">
        <f>_xlfn.IFNA(_xlfn.IFS(Y125&gt;Dash!$E$46, "Big", Y125&lt;Dash!$E$49, "Small", Y125&gt;Dash!$E$47, "Good"), "Norm")</f>
        <v>Small</v>
      </c>
      <c r="AA125">
        <v>112.25</v>
      </c>
      <c r="AB125" t="str">
        <f>_xlfn.IFNA(_xlfn.IFS(AA125&gt;Dash!$F$46, "Big", AA125&lt;Dash!$F$49, "Small", AA125&gt;Dash!$F$47, "Good"), "Norm")</f>
        <v>Good</v>
      </c>
      <c r="AC125">
        <v>99</v>
      </c>
      <c r="AD125" t="str">
        <f>_xlfn.IFNA(_xlfn.IFS(AC125&gt;Dash!$G$46, "Big", AC125&lt;Dash!$G$49, "Small", AC125&gt;Dash!$G$47, "Good"), "Norm")</f>
        <v>Small</v>
      </c>
      <c r="AE125">
        <v>82.5</v>
      </c>
      <c r="AF125" t="str">
        <f>_xlfn.IFNA(_xlfn.IFS(AE125&gt;Dash!$H$46, "Big", AE125&lt;Dash!$H$49, "Small", AE125&gt;Dash!$H$47, "Good"), "Norm")</f>
        <v>Small</v>
      </c>
      <c r="AG125">
        <v>73.5</v>
      </c>
      <c r="AH125" t="str">
        <f>_xlfn.IFNA(_xlfn.IFS(AG125&gt;Dash!$I$46, "Big", AG125&lt;Dash!$I$49, "Small", AG125&gt;Dash!$I$47, "Good"), "Norm")</f>
        <v>Good</v>
      </c>
    </row>
    <row r="126" spans="1:34" x14ac:dyDescent="0.25">
      <c r="A126" s="1">
        <v>45351</v>
      </c>
      <c r="B126" t="s">
        <v>36</v>
      </c>
      <c r="C126" t="s">
        <v>20</v>
      </c>
      <c r="D126" t="s">
        <v>38</v>
      </c>
      <c r="E126">
        <v>250</v>
      </c>
      <c r="F126">
        <v>300</v>
      </c>
      <c r="G126">
        <v>300</v>
      </c>
      <c r="H126">
        <v>900</v>
      </c>
      <c r="I126">
        <v>1000</v>
      </c>
      <c r="J126" t="s">
        <v>15</v>
      </c>
      <c r="K126" t="s">
        <v>39</v>
      </c>
      <c r="L126" t="s">
        <v>32</v>
      </c>
      <c r="M126" t="s">
        <v>19</v>
      </c>
      <c r="N126">
        <v>7</v>
      </c>
      <c r="R126" t="s">
        <v>20</v>
      </c>
      <c r="S126" t="s">
        <v>28</v>
      </c>
      <c r="T126">
        <v>302.25</v>
      </c>
      <c r="U126" t="str">
        <f>_xlfn.IFNA(_xlfn.IFS(E126&gt;Dash!$D$46, "Big", E126&lt;Dash!$D$49, "Small", E126&gt;Dash!$D$47, "Good"), "Norm")</f>
        <v>Norm</v>
      </c>
      <c r="V126" t="s">
        <v>13</v>
      </c>
      <c r="W126">
        <v>99</v>
      </c>
      <c r="X126" t="s">
        <v>14</v>
      </c>
      <c r="Y126">
        <v>65</v>
      </c>
      <c r="Z126" t="str">
        <f>_xlfn.IFNA(_xlfn.IFS(Y126&gt;Dash!$E$46, "Big", Y126&lt;Dash!$E$49, "Small", Y126&gt;Dash!$E$47, "Good"), "Norm")</f>
        <v>Norm</v>
      </c>
      <c r="AA126">
        <v>89.25</v>
      </c>
      <c r="AB126" t="str">
        <f>_xlfn.IFNA(_xlfn.IFS(AA126&gt;Dash!$F$46, "Big", AA126&lt;Dash!$F$49, "Small", AA126&gt;Dash!$F$47, "Good"), "Norm")</f>
        <v>Norm</v>
      </c>
      <c r="AC126">
        <v>213</v>
      </c>
      <c r="AD126" t="str">
        <f>_xlfn.IFNA(_xlfn.IFS(AC126&gt;Dash!$G$46, "Big", AC126&lt;Dash!$G$49, "Small", AC126&gt;Dash!$G$47, "Good"), "Norm")</f>
        <v>Good</v>
      </c>
      <c r="AE126">
        <v>140.5</v>
      </c>
      <c r="AF126" t="str">
        <f>_xlfn.IFNA(_xlfn.IFS(AE126&gt;Dash!$H$46, "Big", AE126&lt;Dash!$H$49, "Small", AE126&gt;Dash!$H$47, "Good"), "Norm")</f>
        <v>Norm</v>
      </c>
      <c r="AG126">
        <v>45.75</v>
      </c>
      <c r="AH126" t="str">
        <f>_xlfn.IFNA(_xlfn.IFS(AG126&gt;Dash!$I$46, "Big", AG126&lt;Dash!$I$49, "Small", AG126&gt;Dash!$I$47, "Good"), "Norm")</f>
        <v>Good</v>
      </c>
    </row>
    <row r="127" spans="1:34" x14ac:dyDescent="0.25">
      <c r="A127" s="1">
        <v>45352</v>
      </c>
      <c r="B127" t="s">
        <v>26</v>
      </c>
      <c r="C127" t="s">
        <v>20</v>
      </c>
      <c r="D127" t="s">
        <v>28</v>
      </c>
      <c r="E127">
        <v>302.25</v>
      </c>
      <c r="F127">
        <v>2000</v>
      </c>
      <c r="G127">
        <v>500</v>
      </c>
      <c r="J127" t="s">
        <v>29</v>
      </c>
      <c r="K127" t="s">
        <v>39</v>
      </c>
      <c r="L127" t="s">
        <v>32</v>
      </c>
      <c r="M127" t="s">
        <v>19</v>
      </c>
      <c r="N127">
        <v>7</v>
      </c>
      <c r="R127" t="s">
        <v>20</v>
      </c>
      <c r="S127" t="s">
        <v>43</v>
      </c>
      <c r="T127">
        <v>98.75</v>
      </c>
      <c r="U127" t="str">
        <f>_xlfn.IFNA(_xlfn.IFS(E127&gt;Dash!$D$46, "Big", E127&lt;Dash!$D$49, "Small", E127&gt;Dash!$D$47, "Good"), "Norm")</f>
        <v>Good</v>
      </c>
      <c r="V127" t="s">
        <v>20</v>
      </c>
      <c r="W127">
        <v>250</v>
      </c>
      <c r="X127" t="s">
        <v>38</v>
      </c>
      <c r="Y127">
        <v>98</v>
      </c>
      <c r="Z127" t="str">
        <f>_xlfn.IFNA(_xlfn.IFS(Y127&gt;Dash!$E$46, "Big", Y127&lt;Dash!$E$49, "Small", Y127&gt;Dash!$E$47, "Good"), "Norm")</f>
        <v>Good</v>
      </c>
      <c r="AA127">
        <v>133.5</v>
      </c>
      <c r="AB127" t="str">
        <f>_xlfn.IFNA(_xlfn.IFS(AA127&gt;Dash!$F$46, "Big", AA127&lt;Dash!$F$49, "Small", AA127&gt;Dash!$F$47, "Good"), "Norm")</f>
        <v>Good</v>
      </c>
      <c r="AC127">
        <v>178.75</v>
      </c>
      <c r="AD127" t="str">
        <f>_xlfn.IFNA(_xlfn.IFS(AC127&gt;Dash!$G$46, "Big", AC127&lt;Dash!$G$49, "Small", AC127&gt;Dash!$G$47, "Good"), "Norm")</f>
        <v>Norm</v>
      </c>
      <c r="AE127">
        <v>151</v>
      </c>
      <c r="AF127" t="str">
        <f>_xlfn.IFNA(_xlfn.IFS(AE127&gt;Dash!$H$46, "Big", AE127&lt;Dash!$H$49, "Small", AE127&gt;Dash!$H$47, "Good"), "Norm")</f>
        <v>Good</v>
      </c>
      <c r="AG127">
        <v>20.25</v>
      </c>
      <c r="AH127" t="str">
        <f>_xlfn.IFNA(_xlfn.IFS(AG127&gt;Dash!$I$46, "Big", AG127&lt;Dash!$I$49, "Small", AG127&gt;Dash!$I$47, "Good"), "Norm")</f>
        <v>Small</v>
      </c>
    </row>
    <row r="128" spans="1:34" x14ac:dyDescent="0.25">
      <c r="A128" s="1">
        <v>45355</v>
      </c>
      <c r="B128" t="s">
        <v>23</v>
      </c>
      <c r="C128" t="s">
        <v>20</v>
      </c>
      <c r="D128" t="s">
        <v>43</v>
      </c>
      <c r="E128">
        <v>98.75</v>
      </c>
      <c r="F128">
        <v>400</v>
      </c>
      <c r="G128">
        <v>400</v>
      </c>
      <c r="J128" t="s">
        <v>30</v>
      </c>
      <c r="K128" t="s">
        <v>22</v>
      </c>
      <c r="L128" t="s">
        <v>42</v>
      </c>
      <c r="M128" t="s">
        <v>19</v>
      </c>
      <c r="N128">
        <v>9</v>
      </c>
      <c r="R128" t="s">
        <v>13</v>
      </c>
      <c r="S128" t="s">
        <v>14</v>
      </c>
      <c r="T128">
        <v>343.25</v>
      </c>
      <c r="U128" t="str">
        <f>_xlfn.IFNA(_xlfn.IFS(E128&gt;Dash!$D$46, "Big", E128&lt;Dash!$D$49, "Small", E128&gt;Dash!$D$47, "Good"), "Norm")</f>
        <v>Small</v>
      </c>
      <c r="V128" t="s">
        <v>20</v>
      </c>
      <c r="W128">
        <v>302.25</v>
      </c>
      <c r="X128" t="s">
        <v>28</v>
      </c>
      <c r="Y128">
        <v>39</v>
      </c>
      <c r="Z128" t="str">
        <f>_xlfn.IFNA(_xlfn.IFS(Y128&gt;Dash!$E$46, "Big", Y128&lt;Dash!$E$49, "Small", Y128&gt;Dash!$E$47, "Good"), "Norm")</f>
        <v>Small</v>
      </c>
      <c r="AA128">
        <v>67</v>
      </c>
      <c r="AB128" t="str">
        <f>_xlfn.IFNA(_xlfn.IFS(AA128&gt;Dash!$F$46, "Big", AA128&lt;Dash!$F$49, "Small", AA128&gt;Dash!$F$47, "Good"), "Norm")</f>
        <v>Norm</v>
      </c>
      <c r="AC128">
        <v>70.75</v>
      </c>
      <c r="AD128" t="str">
        <f>_xlfn.IFNA(_xlfn.IFS(AC128&gt;Dash!$G$46, "Big", AC128&lt;Dash!$G$49, "Small", AC128&gt;Dash!$G$47, "Good"), "Norm")</f>
        <v>Small</v>
      </c>
      <c r="AE128">
        <v>94.25</v>
      </c>
      <c r="AF128" t="str">
        <f>_xlfn.IFNA(_xlfn.IFS(AE128&gt;Dash!$H$46, "Big", AE128&lt;Dash!$H$49, "Small", AE128&gt;Dash!$H$47, "Good"), "Norm")</f>
        <v>Norm</v>
      </c>
      <c r="AG128">
        <v>27.25</v>
      </c>
      <c r="AH128" t="str">
        <f>_xlfn.IFNA(_xlfn.IFS(AG128&gt;Dash!$I$46, "Big", AG128&lt;Dash!$I$49, "Small", AG128&gt;Dash!$I$47, "Good"), "Norm")</f>
        <v>Norm</v>
      </c>
    </row>
    <row r="129" spans="1:34" x14ac:dyDescent="0.25">
      <c r="A129" s="1">
        <v>45356</v>
      </c>
      <c r="B129" t="s">
        <v>19</v>
      </c>
      <c r="C129" t="s">
        <v>13</v>
      </c>
      <c r="D129" t="s">
        <v>14</v>
      </c>
      <c r="E129">
        <v>343.25</v>
      </c>
      <c r="F129">
        <v>1800</v>
      </c>
      <c r="J129" t="s">
        <v>37</v>
      </c>
      <c r="K129" t="s">
        <v>16</v>
      </c>
      <c r="L129" t="s">
        <v>17</v>
      </c>
      <c r="M129" t="s">
        <v>19</v>
      </c>
      <c r="N129">
        <v>9</v>
      </c>
      <c r="R129" t="s">
        <v>13</v>
      </c>
      <c r="S129">
        <v>1</v>
      </c>
      <c r="T129">
        <v>210.75</v>
      </c>
      <c r="U129" t="str">
        <f>_xlfn.IFNA(_xlfn.IFS(E129&gt;Dash!$D$46, "Big", E129&lt;Dash!$D$49, "Small", E129&gt;Dash!$D$47, "Good"), "Norm")</f>
        <v>Good</v>
      </c>
      <c r="V129" t="s">
        <v>20</v>
      </c>
      <c r="W129">
        <v>98.75</v>
      </c>
      <c r="X129" t="s">
        <v>43</v>
      </c>
      <c r="Y129">
        <v>84.5</v>
      </c>
      <c r="Z129" t="str">
        <f>_xlfn.IFNA(_xlfn.IFS(Y129&gt;Dash!$E$46, "Big", Y129&lt;Dash!$E$49, "Small", Y129&gt;Dash!$E$47, "Good"), "Norm")</f>
        <v>Good</v>
      </c>
      <c r="AA129">
        <v>83.5</v>
      </c>
      <c r="AB129" t="str">
        <f>_xlfn.IFNA(_xlfn.IFS(AA129&gt;Dash!$F$46, "Big", AA129&lt;Dash!$F$49, "Small", AA129&gt;Dash!$F$47, "Good"), "Norm")</f>
        <v>Norm</v>
      </c>
      <c r="AC129">
        <v>268.25</v>
      </c>
      <c r="AD129" t="str">
        <f>_xlfn.IFNA(_xlfn.IFS(AC129&gt;Dash!$G$46, "Big", AC129&lt;Dash!$G$49, "Small", AC129&gt;Dash!$G$47, "Good"), "Norm")</f>
        <v>Good</v>
      </c>
      <c r="AE129">
        <v>146</v>
      </c>
      <c r="AF129" t="str">
        <f>_xlfn.IFNA(_xlfn.IFS(AE129&gt;Dash!$H$46, "Big", AE129&lt;Dash!$H$49, "Small", AE129&gt;Dash!$H$47, "Good"), "Norm")</f>
        <v>Norm</v>
      </c>
      <c r="AG129">
        <v>59.25</v>
      </c>
      <c r="AH129" t="str">
        <f>_xlfn.IFNA(_xlfn.IFS(AG129&gt;Dash!$I$46, "Big", AG129&lt;Dash!$I$49, "Small", AG129&gt;Dash!$I$47, "Good"), "Norm")</f>
        <v>Good</v>
      </c>
    </row>
    <row r="130" spans="1:34" x14ac:dyDescent="0.25">
      <c r="A130" s="1">
        <v>45357</v>
      </c>
      <c r="B130" t="s">
        <v>18</v>
      </c>
      <c r="C130" t="s">
        <v>13</v>
      </c>
      <c r="D130">
        <v>1</v>
      </c>
      <c r="E130">
        <v>210.75</v>
      </c>
      <c r="J130" t="s">
        <v>34</v>
      </c>
      <c r="K130" t="s">
        <v>31</v>
      </c>
      <c r="L130" t="s">
        <v>32</v>
      </c>
      <c r="M130" t="s">
        <v>19</v>
      </c>
      <c r="N130">
        <v>9</v>
      </c>
      <c r="R130" t="s">
        <v>20</v>
      </c>
      <c r="S130" t="s">
        <v>38</v>
      </c>
      <c r="T130">
        <v>254.75</v>
      </c>
      <c r="U130" t="str">
        <f>_xlfn.IFNA(_xlfn.IFS(E130&gt;Dash!$D$46, "Big", E130&lt;Dash!$D$49, "Small", E130&gt;Dash!$D$47, "Good"), "Norm")</f>
        <v>Norm</v>
      </c>
      <c r="V130" t="s">
        <v>13</v>
      </c>
      <c r="W130">
        <v>343.25</v>
      </c>
      <c r="X130" t="s">
        <v>14</v>
      </c>
      <c r="Y130">
        <v>45.5</v>
      </c>
      <c r="Z130" t="str">
        <f>_xlfn.IFNA(_xlfn.IFS(Y130&gt;Dash!$E$46, "Big", Y130&lt;Dash!$E$49, "Small", Y130&gt;Dash!$E$47, "Good"), "Norm")</f>
        <v>Norm</v>
      </c>
      <c r="AA130">
        <v>106.5</v>
      </c>
      <c r="AB130" t="str">
        <f>_xlfn.IFNA(_xlfn.IFS(AA130&gt;Dash!$F$46, "Big", AA130&lt;Dash!$F$49, "Small", AA130&gt;Dash!$F$47, "Good"), "Norm")</f>
        <v>Good</v>
      </c>
      <c r="AC130">
        <v>167.25</v>
      </c>
      <c r="AD130" t="str">
        <f>_xlfn.IFNA(_xlfn.IFS(AC130&gt;Dash!$G$46, "Big", AC130&lt;Dash!$G$49, "Small", AC130&gt;Dash!$G$47, "Good"), "Norm")</f>
        <v>Norm</v>
      </c>
      <c r="AE130">
        <v>189.75</v>
      </c>
      <c r="AF130" t="str">
        <f>_xlfn.IFNA(_xlfn.IFS(AE130&gt;Dash!$H$46, "Big", AE130&lt;Dash!$H$49, "Small", AE130&gt;Dash!$H$47, "Good"), "Norm")</f>
        <v>Good</v>
      </c>
      <c r="AG130">
        <v>23.5</v>
      </c>
      <c r="AH130" t="str">
        <f>_xlfn.IFNA(_xlfn.IFS(AG130&gt;Dash!$I$46, "Big", AG130&lt;Dash!$I$49, "Small", AG130&gt;Dash!$I$47, "Good"), "Norm")</f>
        <v>Norm</v>
      </c>
    </row>
    <row r="131" spans="1:34" x14ac:dyDescent="0.25">
      <c r="A131" s="1">
        <v>45358</v>
      </c>
      <c r="B131" t="s">
        <v>36</v>
      </c>
      <c r="C131" t="s">
        <v>20</v>
      </c>
      <c r="D131" t="s">
        <v>38</v>
      </c>
      <c r="E131">
        <v>254.75</v>
      </c>
      <c r="F131">
        <v>2100</v>
      </c>
      <c r="G131">
        <v>2100</v>
      </c>
      <c r="H131">
        <v>900</v>
      </c>
      <c r="J131" t="s">
        <v>37</v>
      </c>
      <c r="K131" t="s">
        <v>39</v>
      </c>
      <c r="L131" t="s">
        <v>32</v>
      </c>
      <c r="M131" t="s">
        <v>19</v>
      </c>
      <c r="N131">
        <v>9</v>
      </c>
      <c r="R131" t="s">
        <v>33</v>
      </c>
      <c r="S131" t="s">
        <v>43</v>
      </c>
      <c r="T131">
        <v>424</v>
      </c>
      <c r="U131" t="str">
        <f>_xlfn.IFNA(_xlfn.IFS(E131&gt;Dash!$D$46, "Big", E131&lt;Dash!$D$49, "Small", E131&gt;Dash!$D$47, "Good"), "Norm")</f>
        <v>Good</v>
      </c>
      <c r="V131" t="s">
        <v>13</v>
      </c>
      <c r="W131">
        <v>210.75</v>
      </c>
      <c r="X131">
        <v>1</v>
      </c>
      <c r="Y131">
        <v>114.75</v>
      </c>
      <c r="Z131" t="str">
        <f>_xlfn.IFNA(_xlfn.IFS(Y131&gt;Dash!$E$46, "Big", Y131&lt;Dash!$E$49, "Small", Y131&gt;Dash!$E$47, "Good"), "Norm")</f>
        <v>Good</v>
      </c>
      <c r="AA131">
        <v>221.5</v>
      </c>
      <c r="AB131" t="str">
        <f>_xlfn.IFNA(_xlfn.IFS(AA131&gt;Dash!$F$46, "Big", AA131&lt;Dash!$F$49, "Small", AA131&gt;Dash!$F$47, "Good"), "Norm")</f>
        <v>Big</v>
      </c>
      <c r="AC131">
        <v>201.75</v>
      </c>
      <c r="AD131" t="str">
        <f>_xlfn.IFNA(_xlfn.IFS(AC131&gt;Dash!$G$46, "Big", AC131&lt;Dash!$G$49, "Small", AC131&gt;Dash!$G$47, "Good"), "Norm")</f>
        <v>Good</v>
      </c>
      <c r="AE131">
        <v>73.75</v>
      </c>
      <c r="AF131" t="str">
        <f>_xlfn.IFNA(_xlfn.IFS(AE131&gt;Dash!$H$46, "Big", AE131&lt;Dash!$H$49, "Small", AE131&gt;Dash!$H$47, "Good"), "Norm")</f>
        <v>Small</v>
      </c>
      <c r="AG131">
        <v>153.75</v>
      </c>
      <c r="AH131" t="str">
        <f>_xlfn.IFNA(_xlfn.IFS(AG131&gt;Dash!$I$46, "Big", AG131&lt;Dash!$I$49, "Small", AG131&gt;Dash!$I$47, "Good"), "Norm")</f>
        <v>Big</v>
      </c>
    </row>
    <row r="132" spans="1:34" x14ac:dyDescent="0.25">
      <c r="A132" s="1">
        <v>45359</v>
      </c>
      <c r="B132" t="s">
        <v>26</v>
      </c>
      <c r="C132" t="s">
        <v>33</v>
      </c>
      <c r="D132" t="s">
        <v>43</v>
      </c>
      <c r="E132">
        <v>424</v>
      </c>
      <c r="F132">
        <v>800</v>
      </c>
      <c r="G132">
        <v>800</v>
      </c>
      <c r="J132" t="s">
        <v>27</v>
      </c>
      <c r="K132" t="s">
        <v>35</v>
      </c>
      <c r="L132" t="s">
        <v>17</v>
      </c>
      <c r="M132" t="s">
        <v>19</v>
      </c>
      <c r="N132">
        <v>9</v>
      </c>
      <c r="R132" t="s">
        <v>41</v>
      </c>
      <c r="S132">
        <v>1</v>
      </c>
      <c r="T132">
        <v>133.25</v>
      </c>
      <c r="U132" t="str">
        <f>_xlfn.IFNA(_xlfn.IFS(E132&gt;Dash!$D$46, "Big", E132&lt;Dash!$D$49, "Small", E132&gt;Dash!$D$47, "Good"), "Norm")</f>
        <v>Big</v>
      </c>
      <c r="V132" t="s">
        <v>20</v>
      </c>
      <c r="W132">
        <v>254.75</v>
      </c>
      <c r="X132" t="s">
        <v>38</v>
      </c>
      <c r="Y132">
        <v>61.75</v>
      </c>
      <c r="Z132" t="str">
        <f>_xlfn.IFNA(_xlfn.IFS(Y132&gt;Dash!$E$46, "Big", Y132&lt;Dash!$E$49, "Small", Y132&gt;Dash!$E$47, "Good"), "Norm")</f>
        <v>Norm</v>
      </c>
      <c r="AA132">
        <v>103</v>
      </c>
      <c r="AB132" t="str">
        <f>_xlfn.IFNA(_xlfn.IFS(AA132&gt;Dash!$F$46, "Big", AA132&lt;Dash!$F$49, "Small", AA132&gt;Dash!$F$47, "Good"), "Norm")</f>
        <v>Good</v>
      </c>
      <c r="AC132">
        <v>287.25</v>
      </c>
      <c r="AD132" t="str">
        <f>_xlfn.IFNA(_xlfn.IFS(AC132&gt;Dash!$G$46, "Big", AC132&lt;Dash!$G$49, "Small", AC132&gt;Dash!$G$47, "Good"), "Norm")</f>
        <v>Good</v>
      </c>
      <c r="AE132">
        <v>200.5</v>
      </c>
      <c r="AF132" t="str">
        <f>_xlfn.IFNA(_xlfn.IFS(AE132&gt;Dash!$H$46, "Big", AE132&lt;Dash!$H$49, "Small", AE132&gt;Dash!$H$47, "Good"), "Norm")</f>
        <v>Good</v>
      </c>
      <c r="AG132">
        <v>40.5</v>
      </c>
      <c r="AH132" t="str">
        <f>_xlfn.IFNA(_xlfn.IFS(AG132&gt;Dash!$I$46, "Big", AG132&lt;Dash!$I$49, "Small", AG132&gt;Dash!$I$47, "Good"), "Norm")</f>
        <v>Good</v>
      </c>
    </row>
    <row r="133" spans="1:34" x14ac:dyDescent="0.25">
      <c r="A133" s="1">
        <v>45362</v>
      </c>
      <c r="B133" t="s">
        <v>23</v>
      </c>
      <c r="C133" t="s">
        <v>41</v>
      </c>
      <c r="D133">
        <v>1</v>
      </c>
      <c r="E133">
        <v>133.25</v>
      </c>
      <c r="J133" t="s">
        <v>34</v>
      </c>
      <c r="K133" t="s">
        <v>22</v>
      </c>
      <c r="L133" t="s">
        <v>25</v>
      </c>
      <c r="M133" t="s">
        <v>19</v>
      </c>
      <c r="N133">
        <v>12</v>
      </c>
      <c r="R133" t="s">
        <v>33</v>
      </c>
      <c r="S133" t="s">
        <v>28</v>
      </c>
      <c r="T133">
        <v>317</v>
      </c>
      <c r="U133" t="str">
        <f>_xlfn.IFNA(_xlfn.IFS(E133&gt;Dash!$D$46, "Big", E133&lt;Dash!$D$49, "Small", E133&gt;Dash!$D$47, "Good"), "Norm")</f>
        <v>Small</v>
      </c>
      <c r="V133" t="s">
        <v>33</v>
      </c>
      <c r="W133">
        <v>424</v>
      </c>
      <c r="X133" t="s">
        <v>43</v>
      </c>
      <c r="Y133">
        <v>79.25</v>
      </c>
      <c r="Z133" t="str">
        <f>_xlfn.IFNA(_xlfn.IFS(Y133&gt;Dash!$E$46, "Big", Y133&lt;Dash!$E$49, "Small", Y133&gt;Dash!$E$47, "Good"), "Norm")</f>
        <v>Good</v>
      </c>
      <c r="AA133">
        <v>115</v>
      </c>
      <c r="AB133" t="str">
        <f>_xlfn.IFNA(_xlfn.IFS(AA133&gt;Dash!$F$46, "Big", AA133&lt;Dash!$F$49, "Small", AA133&gt;Dash!$F$47, "Good"), "Norm")</f>
        <v>Good</v>
      </c>
      <c r="AC133">
        <v>131</v>
      </c>
      <c r="AD133" t="str">
        <f>_xlfn.IFNA(_xlfn.IFS(AC133&gt;Dash!$G$46, "Big", AC133&lt;Dash!$G$49, "Small", AC133&gt;Dash!$G$47, "Good"), "Norm")</f>
        <v>Norm</v>
      </c>
      <c r="AE133">
        <v>84</v>
      </c>
      <c r="AF133" t="str">
        <f>_xlfn.IFNA(_xlfn.IFS(AE133&gt;Dash!$H$46, "Big", AE133&lt;Dash!$H$49, "Small", AE133&gt;Dash!$H$47, "Good"), "Norm")</f>
        <v>Small</v>
      </c>
      <c r="AG133">
        <v>46.5</v>
      </c>
      <c r="AH133" t="str">
        <f>_xlfn.IFNA(_xlfn.IFS(AG133&gt;Dash!$I$46, "Big", AG133&lt;Dash!$I$49, "Small", AG133&gt;Dash!$I$47, "Good"), "Norm")</f>
        <v>Good</v>
      </c>
    </row>
    <row r="134" spans="1:34" x14ac:dyDescent="0.25">
      <c r="A134" s="1">
        <v>45363</v>
      </c>
      <c r="B134" t="s">
        <v>19</v>
      </c>
      <c r="C134" t="s">
        <v>33</v>
      </c>
      <c r="D134" t="s">
        <v>28</v>
      </c>
      <c r="E134">
        <v>317</v>
      </c>
      <c r="F134">
        <v>2000</v>
      </c>
      <c r="G134">
        <v>2000</v>
      </c>
      <c r="J134" t="s">
        <v>29</v>
      </c>
      <c r="K134" t="s">
        <v>25</v>
      </c>
      <c r="L134" t="s">
        <v>32</v>
      </c>
      <c r="M134" t="s">
        <v>19</v>
      </c>
      <c r="N134">
        <v>12</v>
      </c>
      <c r="R134" t="s">
        <v>41</v>
      </c>
      <c r="S134" t="s">
        <v>43</v>
      </c>
      <c r="T134">
        <v>185.5</v>
      </c>
      <c r="U134" t="str">
        <f>_xlfn.IFNA(_xlfn.IFS(E134&gt;Dash!$D$46, "Big", E134&lt;Dash!$D$49, "Small", E134&gt;Dash!$D$47, "Good"), "Norm")</f>
        <v>Good</v>
      </c>
      <c r="V134" t="s">
        <v>41</v>
      </c>
      <c r="W134">
        <v>133.25</v>
      </c>
      <c r="X134">
        <v>1</v>
      </c>
      <c r="Y134">
        <v>97</v>
      </c>
      <c r="Z134" t="str">
        <f>_xlfn.IFNA(_xlfn.IFS(Y134&gt;Dash!$E$46, "Big", Y134&lt;Dash!$E$49, "Small", Y134&gt;Dash!$E$47, "Good"), "Norm")</f>
        <v>Good</v>
      </c>
      <c r="AA134">
        <v>68.25</v>
      </c>
      <c r="AB134" t="str">
        <f>_xlfn.IFNA(_xlfn.IFS(AA134&gt;Dash!$F$46, "Big", AA134&lt;Dash!$F$49, "Small", AA134&gt;Dash!$F$47, "Good"), "Norm")</f>
        <v>Norm</v>
      </c>
      <c r="AC134">
        <v>283.5</v>
      </c>
      <c r="AD134" t="str">
        <f>_xlfn.IFNA(_xlfn.IFS(AC134&gt;Dash!$G$46, "Big", AC134&lt;Dash!$G$49, "Small", AC134&gt;Dash!$G$47, "Good"), "Norm")</f>
        <v>Good</v>
      </c>
      <c r="AE134">
        <v>167.75</v>
      </c>
      <c r="AF134" t="str">
        <f>_xlfn.IFNA(_xlfn.IFS(AE134&gt;Dash!$H$46, "Big", AE134&lt;Dash!$H$49, "Small", AE134&gt;Dash!$H$47, "Good"), "Norm")</f>
        <v>Good</v>
      </c>
      <c r="AG134">
        <v>18.5</v>
      </c>
      <c r="AH134" t="str">
        <f>_xlfn.IFNA(_xlfn.IFS(AG134&gt;Dash!$I$46, "Big", AG134&lt;Dash!$I$49, "Small", AG134&gt;Dash!$I$47, "Good"), "Norm")</f>
        <v>Small</v>
      </c>
    </row>
    <row r="135" spans="1:34" x14ac:dyDescent="0.25">
      <c r="A135" s="1">
        <v>45364</v>
      </c>
      <c r="B135" t="s">
        <v>18</v>
      </c>
      <c r="C135" t="s">
        <v>41</v>
      </c>
      <c r="D135" t="s">
        <v>43</v>
      </c>
      <c r="E135">
        <v>185.5</v>
      </c>
      <c r="F135">
        <v>300</v>
      </c>
      <c r="G135">
        <v>400</v>
      </c>
      <c r="J135" t="s">
        <v>30</v>
      </c>
      <c r="K135" t="s">
        <v>22</v>
      </c>
      <c r="L135" t="s">
        <v>25</v>
      </c>
      <c r="M135" t="s">
        <v>19</v>
      </c>
      <c r="N135">
        <v>12</v>
      </c>
      <c r="R135" t="s">
        <v>20</v>
      </c>
      <c r="S135" t="s">
        <v>14</v>
      </c>
      <c r="T135">
        <v>252.75</v>
      </c>
      <c r="U135" t="str">
        <f>_xlfn.IFNA(_xlfn.IFS(E135&gt;Dash!$D$46, "Big", E135&lt;Dash!$D$49, "Small", E135&gt;Dash!$D$47, "Good"), "Norm")</f>
        <v>Norm</v>
      </c>
      <c r="V135" t="s">
        <v>33</v>
      </c>
      <c r="W135">
        <v>317</v>
      </c>
      <c r="X135" t="s">
        <v>28</v>
      </c>
      <c r="Y135">
        <v>43.75</v>
      </c>
      <c r="Z135" t="str">
        <f>_xlfn.IFNA(_xlfn.IFS(Y135&gt;Dash!$E$46, "Big", Y135&lt;Dash!$E$49, "Small", Y135&gt;Dash!$E$47, "Good"), "Norm")</f>
        <v>Norm</v>
      </c>
      <c r="AA135">
        <v>69.75</v>
      </c>
      <c r="AB135" t="str">
        <f>_xlfn.IFNA(_xlfn.IFS(AA135&gt;Dash!$F$46, "Big", AA135&lt;Dash!$F$49, "Small", AA135&gt;Dash!$F$47, "Good"), "Norm")</f>
        <v>Norm</v>
      </c>
      <c r="AC135">
        <v>185.5</v>
      </c>
      <c r="AD135" t="str">
        <f>_xlfn.IFNA(_xlfn.IFS(AC135&gt;Dash!$G$46, "Big", AC135&lt;Dash!$G$49, "Small", AC135&gt;Dash!$G$47, "Good"), "Norm")</f>
        <v>Norm</v>
      </c>
      <c r="AE135">
        <v>115.5</v>
      </c>
      <c r="AF135" t="str">
        <f>_xlfn.IFNA(_xlfn.IFS(AE135&gt;Dash!$H$46, "Big", AE135&lt;Dash!$H$49, "Small", AE135&gt;Dash!$H$47, "Good"), "Norm")</f>
        <v>Norm</v>
      </c>
      <c r="AG135">
        <v>32.75</v>
      </c>
      <c r="AH135" t="str">
        <f>_xlfn.IFNA(_xlfn.IFS(AG135&gt;Dash!$I$46, "Big", AG135&lt;Dash!$I$49, "Small", AG135&gt;Dash!$I$47, "Good"), "Norm")</f>
        <v>Norm</v>
      </c>
    </row>
    <row r="136" spans="1:34" x14ac:dyDescent="0.25">
      <c r="A136" s="1">
        <v>45365</v>
      </c>
      <c r="B136" t="s">
        <v>36</v>
      </c>
      <c r="C136" t="s">
        <v>20</v>
      </c>
      <c r="D136" t="s">
        <v>14</v>
      </c>
      <c r="E136">
        <v>252.75</v>
      </c>
      <c r="F136">
        <v>900</v>
      </c>
      <c r="G136">
        <v>1000</v>
      </c>
      <c r="J136" t="s">
        <v>45</v>
      </c>
      <c r="K136" t="s">
        <v>22</v>
      </c>
      <c r="L136" t="s">
        <v>17</v>
      </c>
      <c r="M136" t="s">
        <v>19</v>
      </c>
      <c r="N136">
        <v>12</v>
      </c>
      <c r="R136" t="s">
        <v>20</v>
      </c>
      <c r="S136" t="s">
        <v>14</v>
      </c>
      <c r="T136">
        <v>277.25</v>
      </c>
      <c r="U136" t="str">
        <f>_xlfn.IFNA(_xlfn.IFS(E136&gt;Dash!$D$46, "Big", E136&lt;Dash!$D$49, "Small", E136&gt;Dash!$D$47, "Good"), "Norm")</f>
        <v>Good</v>
      </c>
      <c r="V136" t="s">
        <v>41</v>
      </c>
      <c r="W136">
        <v>185.5</v>
      </c>
      <c r="X136" t="s">
        <v>43</v>
      </c>
      <c r="Y136">
        <v>49.75</v>
      </c>
      <c r="Z136" t="str">
        <f>_xlfn.IFNA(_xlfn.IFS(Y136&gt;Dash!$E$46, "Big", Y136&lt;Dash!$E$49, "Small", Y136&gt;Dash!$E$47, "Good"), "Norm")</f>
        <v>Norm</v>
      </c>
      <c r="AA136">
        <v>53.25</v>
      </c>
      <c r="AB136" t="str">
        <f>_xlfn.IFNA(_xlfn.IFS(AA136&gt;Dash!$F$46, "Big", AA136&lt;Dash!$F$49, "Small", AA136&gt;Dash!$F$47, "Good"), "Norm")</f>
        <v>Small</v>
      </c>
      <c r="AC136">
        <v>210.75</v>
      </c>
      <c r="AD136" t="str">
        <f>_xlfn.IFNA(_xlfn.IFS(AC136&gt;Dash!$G$46, "Big", AC136&lt;Dash!$G$49, "Small", AC136&gt;Dash!$G$47, "Good"), "Norm")</f>
        <v>Good</v>
      </c>
      <c r="AE136">
        <v>171</v>
      </c>
      <c r="AF136" t="str">
        <f>_xlfn.IFNA(_xlfn.IFS(AE136&gt;Dash!$H$46, "Big", AE136&lt;Dash!$H$49, "Small", AE136&gt;Dash!$H$47, "Good"), "Norm")</f>
        <v>Good</v>
      </c>
      <c r="AG136">
        <v>44.5</v>
      </c>
      <c r="AH136" t="str">
        <f>_xlfn.IFNA(_xlfn.IFS(AG136&gt;Dash!$I$46, "Big", AG136&lt;Dash!$I$49, "Small", AG136&gt;Dash!$I$47, "Good"), "Norm")</f>
        <v>Good</v>
      </c>
    </row>
    <row r="137" spans="1:34" x14ac:dyDescent="0.25">
      <c r="A137" s="1">
        <v>45366</v>
      </c>
      <c r="B137" t="s">
        <v>26</v>
      </c>
      <c r="C137" t="s">
        <v>20</v>
      </c>
      <c r="D137" t="s">
        <v>14</v>
      </c>
      <c r="E137">
        <v>277.25</v>
      </c>
      <c r="F137">
        <v>900</v>
      </c>
      <c r="J137" t="s">
        <v>45</v>
      </c>
      <c r="K137" t="s">
        <v>22</v>
      </c>
      <c r="L137" t="s">
        <v>17</v>
      </c>
      <c r="M137" t="s">
        <v>19</v>
      </c>
      <c r="N137">
        <v>12</v>
      </c>
      <c r="O137" t="s">
        <v>67</v>
      </c>
      <c r="R137" t="s">
        <v>24</v>
      </c>
      <c r="S137" t="s">
        <v>43</v>
      </c>
      <c r="T137">
        <v>162</v>
      </c>
      <c r="U137" t="str">
        <f>_xlfn.IFNA(_xlfn.IFS(E137&gt;Dash!$D$46, "Big", E137&lt;Dash!$D$49, "Small", E137&gt;Dash!$D$47, "Good"), "Norm")</f>
        <v>Good</v>
      </c>
      <c r="V137" t="s">
        <v>20</v>
      </c>
      <c r="W137">
        <v>252.75</v>
      </c>
      <c r="X137" t="s">
        <v>14</v>
      </c>
      <c r="Y137">
        <v>63.5</v>
      </c>
      <c r="Z137" t="str">
        <f>_xlfn.IFNA(_xlfn.IFS(Y137&gt;Dash!$E$46, "Big", Y137&lt;Dash!$E$49, "Small", Y137&gt;Dash!$E$47, "Good"), "Norm")</f>
        <v>Norm</v>
      </c>
      <c r="AA137">
        <v>114.5</v>
      </c>
      <c r="AB137" t="str">
        <f>_xlfn.IFNA(_xlfn.IFS(AA137&gt;Dash!$F$46, "Big", AA137&lt;Dash!$F$49, "Small", AA137&gt;Dash!$F$47, "Good"), "Norm")</f>
        <v>Good</v>
      </c>
      <c r="AC137">
        <v>254.5</v>
      </c>
      <c r="AD137" t="str">
        <f>_xlfn.IFNA(_xlfn.IFS(AC137&gt;Dash!$G$46, "Big", AC137&lt;Dash!$G$49, "Small", AC137&gt;Dash!$G$47, "Good"), "Norm")</f>
        <v>Good</v>
      </c>
      <c r="AE137">
        <v>100.5</v>
      </c>
      <c r="AF137" t="str">
        <f>_xlfn.IFNA(_xlfn.IFS(AE137&gt;Dash!$H$46, "Big", AE137&lt;Dash!$H$49, "Small", AE137&gt;Dash!$H$47, "Good"), "Norm")</f>
        <v>Norm</v>
      </c>
      <c r="AG137">
        <v>12.75</v>
      </c>
      <c r="AH137" t="str">
        <f>_xlfn.IFNA(_xlfn.IFS(AG137&gt;Dash!$I$46, "Big", AG137&lt;Dash!$I$49, "Small", AG137&gt;Dash!$I$47, "Good"), "Norm")</f>
        <v>Small</v>
      </c>
    </row>
    <row r="138" spans="1:34" x14ac:dyDescent="0.25">
      <c r="A138" s="1">
        <v>45369</v>
      </c>
      <c r="B138" t="s">
        <v>23</v>
      </c>
      <c r="C138" t="s">
        <v>24</v>
      </c>
      <c r="D138" t="s">
        <v>43</v>
      </c>
      <c r="E138">
        <v>162</v>
      </c>
      <c r="F138">
        <v>900</v>
      </c>
      <c r="G138">
        <v>1100</v>
      </c>
      <c r="J138" t="s">
        <v>27</v>
      </c>
      <c r="K138" t="s">
        <v>31</v>
      </c>
      <c r="L138" t="s">
        <v>35</v>
      </c>
      <c r="M138" t="s">
        <v>18</v>
      </c>
      <c r="N138">
        <v>8</v>
      </c>
      <c r="R138" t="s">
        <v>33</v>
      </c>
      <c r="S138" t="s">
        <v>46</v>
      </c>
      <c r="T138">
        <v>236</v>
      </c>
      <c r="U138" t="str">
        <f>_xlfn.IFNA(_xlfn.IFS(E138&gt;Dash!$D$46, "Big", E138&lt;Dash!$D$49, "Small", E138&gt;Dash!$D$47, "Good"), "Norm")</f>
        <v>Norm</v>
      </c>
      <c r="V138" t="s">
        <v>20</v>
      </c>
      <c r="W138">
        <v>277.25</v>
      </c>
      <c r="X138" t="s">
        <v>14</v>
      </c>
      <c r="Y138">
        <v>96.75</v>
      </c>
      <c r="Z138" t="str">
        <f>_xlfn.IFNA(_xlfn.IFS(Y138&gt;Dash!$E$46, "Big", Y138&lt;Dash!$E$49, "Small", Y138&gt;Dash!$E$47, "Good"), "Norm")</f>
        <v>Good</v>
      </c>
      <c r="AA138">
        <v>129</v>
      </c>
      <c r="AB138" t="str">
        <f>_xlfn.IFNA(_xlfn.IFS(AA138&gt;Dash!$F$46, "Big", AA138&lt;Dash!$F$49, "Small", AA138&gt;Dash!$F$47, "Good"), "Norm")</f>
        <v>Good</v>
      </c>
      <c r="AC138">
        <v>118.5</v>
      </c>
      <c r="AD138" t="str">
        <f>_xlfn.IFNA(_xlfn.IFS(AC138&gt;Dash!$G$46, "Big", AC138&lt;Dash!$G$49, "Small", AC138&gt;Dash!$G$47, "Good"), "Norm")</f>
        <v>Norm</v>
      </c>
      <c r="AE138">
        <v>95</v>
      </c>
      <c r="AF138" t="str">
        <f>_xlfn.IFNA(_xlfn.IFS(AE138&gt;Dash!$H$46, "Big", AE138&lt;Dash!$H$49, "Small", AE138&gt;Dash!$H$47, "Good"), "Norm")</f>
        <v>Norm</v>
      </c>
      <c r="AG138">
        <v>41.75</v>
      </c>
      <c r="AH138" t="str">
        <f>_xlfn.IFNA(_xlfn.IFS(AG138&gt;Dash!$I$46, "Big", AG138&lt;Dash!$I$49, "Small", AG138&gt;Dash!$I$47, "Good"), "Norm")</f>
        <v>Good</v>
      </c>
    </row>
    <row r="139" spans="1:34" x14ac:dyDescent="0.25">
      <c r="A139" s="1">
        <v>45370</v>
      </c>
      <c r="B139" t="s">
        <v>19</v>
      </c>
      <c r="C139" t="s">
        <v>33</v>
      </c>
      <c r="D139" t="s">
        <v>46</v>
      </c>
      <c r="E139">
        <v>236</v>
      </c>
      <c r="F139">
        <v>900</v>
      </c>
      <c r="G139">
        <v>900</v>
      </c>
      <c r="J139" t="s">
        <v>45</v>
      </c>
      <c r="K139" t="s">
        <v>25</v>
      </c>
      <c r="L139" t="s">
        <v>32</v>
      </c>
      <c r="M139" t="s">
        <v>18</v>
      </c>
      <c r="N139">
        <v>8</v>
      </c>
      <c r="R139" t="s">
        <v>13</v>
      </c>
      <c r="S139" t="s">
        <v>14</v>
      </c>
      <c r="T139">
        <v>253</v>
      </c>
      <c r="U139" t="str">
        <f>_xlfn.IFNA(_xlfn.IFS(E139&gt;Dash!$D$46, "Big", E139&lt;Dash!$D$49, "Small", E139&gt;Dash!$D$47, "Good"), "Norm")</f>
        <v>Norm</v>
      </c>
      <c r="V139" t="s">
        <v>24</v>
      </c>
      <c r="W139">
        <v>162</v>
      </c>
      <c r="X139" t="s">
        <v>43</v>
      </c>
      <c r="Y139">
        <v>75.75</v>
      </c>
      <c r="Z139" t="str">
        <f>_xlfn.IFNA(_xlfn.IFS(Y139&gt;Dash!$E$46, "Big", Y139&lt;Dash!$E$49, "Small", Y139&gt;Dash!$E$47, "Good"), "Norm")</f>
        <v>Norm</v>
      </c>
      <c r="AA139">
        <v>148.75</v>
      </c>
      <c r="AB139" t="str">
        <f>_xlfn.IFNA(_xlfn.IFS(AA139&gt;Dash!$F$46, "Big", AA139&lt;Dash!$F$49, "Small", AA139&gt;Dash!$F$47, "Good"), "Norm")</f>
        <v>Good</v>
      </c>
      <c r="AC139">
        <v>115.75</v>
      </c>
      <c r="AD139" t="str">
        <f>_xlfn.IFNA(_xlfn.IFS(AC139&gt;Dash!$G$46, "Big", AC139&lt;Dash!$G$49, "Small", AC139&gt;Dash!$G$47, "Good"), "Norm")</f>
        <v>Norm</v>
      </c>
      <c r="AE139">
        <v>142.25</v>
      </c>
      <c r="AF139" t="str">
        <f>_xlfn.IFNA(_xlfn.IFS(AE139&gt;Dash!$H$46, "Big", AE139&lt;Dash!$H$49, "Small", AE139&gt;Dash!$H$47, "Good"), "Norm")</f>
        <v>Norm</v>
      </c>
      <c r="AG139">
        <v>24.75</v>
      </c>
      <c r="AH139" t="str">
        <f>_xlfn.IFNA(_xlfn.IFS(AG139&gt;Dash!$I$46, "Big", AG139&lt;Dash!$I$49, "Small", AG139&gt;Dash!$I$47, "Good"), "Norm")</f>
        <v>Norm</v>
      </c>
    </row>
    <row r="140" spans="1:34" x14ac:dyDescent="0.25">
      <c r="A140" s="1">
        <v>45371</v>
      </c>
      <c r="B140" t="s">
        <v>18</v>
      </c>
      <c r="C140" t="s">
        <v>13</v>
      </c>
      <c r="D140" t="s">
        <v>14</v>
      </c>
      <c r="E140">
        <v>253</v>
      </c>
      <c r="F140">
        <v>600</v>
      </c>
      <c r="G140">
        <v>900</v>
      </c>
      <c r="J140" t="s">
        <v>30</v>
      </c>
      <c r="K140" t="s">
        <v>31</v>
      </c>
      <c r="L140" t="s">
        <v>44</v>
      </c>
      <c r="M140" t="s">
        <v>18</v>
      </c>
      <c r="N140">
        <v>8</v>
      </c>
      <c r="R140" t="s">
        <v>24</v>
      </c>
      <c r="S140" t="s">
        <v>28</v>
      </c>
      <c r="T140">
        <v>156.5</v>
      </c>
      <c r="U140" t="str">
        <f>_xlfn.IFNA(_xlfn.IFS(E140&gt;Dash!$D$46, "Big", E140&lt;Dash!$D$49, "Small", E140&gt;Dash!$D$47, "Good"), "Norm")</f>
        <v>Good</v>
      </c>
      <c r="V140" t="s">
        <v>33</v>
      </c>
      <c r="W140">
        <v>236</v>
      </c>
      <c r="X140" t="s">
        <v>46</v>
      </c>
      <c r="Y140">
        <v>57</v>
      </c>
      <c r="Z140" t="str">
        <f>_xlfn.IFNA(_xlfn.IFS(Y140&gt;Dash!$E$46, "Big", Y140&lt;Dash!$E$49, "Small", Y140&gt;Dash!$E$47, "Good"), "Norm")</f>
        <v>Norm</v>
      </c>
      <c r="AA140">
        <v>97.25</v>
      </c>
      <c r="AB140" t="str">
        <f>_xlfn.IFNA(_xlfn.IFS(AA140&gt;Dash!$F$46, "Big", AA140&lt;Dash!$F$49, "Small", AA140&gt;Dash!$F$47, "Good"), "Norm")</f>
        <v>Good</v>
      </c>
      <c r="AC140">
        <v>88.75</v>
      </c>
      <c r="AD140" t="str">
        <f>_xlfn.IFNA(_xlfn.IFS(AC140&gt;Dash!$G$46, "Big", AC140&lt;Dash!$G$49, "Small", AC140&gt;Dash!$G$47, "Good"), "Norm")</f>
        <v>Small</v>
      </c>
      <c r="AE140">
        <v>253</v>
      </c>
      <c r="AF140" t="str">
        <f>_xlfn.IFNA(_xlfn.IFS(AE140&gt;Dash!$H$46, "Big", AE140&lt;Dash!$H$49, "Small", AE140&gt;Dash!$H$47, "Good"), "Norm")</f>
        <v>Big</v>
      </c>
      <c r="AG140">
        <v>74.5</v>
      </c>
      <c r="AH140" t="str">
        <f>_xlfn.IFNA(_xlfn.IFS(AG140&gt;Dash!$I$46, "Big", AG140&lt;Dash!$I$49, "Small", AG140&gt;Dash!$I$47, "Good"), "Norm")</f>
        <v>Good</v>
      </c>
    </row>
    <row r="141" spans="1:34" x14ac:dyDescent="0.25">
      <c r="A141" s="1">
        <v>45372</v>
      </c>
      <c r="B141" t="s">
        <v>36</v>
      </c>
      <c r="C141" t="s">
        <v>24</v>
      </c>
      <c r="D141" t="s">
        <v>28</v>
      </c>
      <c r="E141">
        <v>156.5</v>
      </c>
      <c r="F141">
        <v>1800</v>
      </c>
      <c r="J141" t="s">
        <v>29</v>
      </c>
      <c r="K141" t="s">
        <v>31</v>
      </c>
      <c r="L141" t="s">
        <v>35</v>
      </c>
      <c r="M141" t="s">
        <v>18</v>
      </c>
      <c r="N141">
        <v>8</v>
      </c>
      <c r="R141" t="s">
        <v>33</v>
      </c>
      <c r="S141" t="s">
        <v>46</v>
      </c>
      <c r="T141">
        <v>134</v>
      </c>
      <c r="U141" t="str">
        <f>_xlfn.IFNA(_xlfn.IFS(E141&gt;Dash!$D$46, "Big", E141&lt;Dash!$D$49, "Small", E141&gt;Dash!$D$47, "Good"), "Norm")</f>
        <v>Small</v>
      </c>
      <c r="V141" t="s">
        <v>13</v>
      </c>
      <c r="W141">
        <v>253</v>
      </c>
      <c r="X141" t="s">
        <v>14</v>
      </c>
      <c r="Y141">
        <v>88</v>
      </c>
      <c r="Z141" t="str">
        <f>_xlfn.IFNA(_xlfn.IFS(Y141&gt;Dash!$E$46, "Big", Y141&lt;Dash!$E$49, "Small", Y141&gt;Dash!$E$47, "Good"), "Norm")</f>
        <v>Good</v>
      </c>
      <c r="AA141">
        <v>78</v>
      </c>
      <c r="AB141" t="str">
        <f>_xlfn.IFNA(_xlfn.IFS(AA141&gt;Dash!$F$46, "Big", AA141&lt;Dash!$F$49, "Small", AA141&gt;Dash!$F$47, "Good"), "Norm")</f>
        <v>Norm</v>
      </c>
      <c r="AC141">
        <v>91.5</v>
      </c>
      <c r="AD141" t="str">
        <f>_xlfn.IFNA(_xlfn.IFS(AC141&gt;Dash!$G$46, "Big", AC141&lt;Dash!$G$49, "Small", AC141&gt;Dash!$G$47, "Good"), "Norm")</f>
        <v>Small</v>
      </c>
      <c r="AE141">
        <v>155</v>
      </c>
      <c r="AF141" t="str">
        <f>_xlfn.IFNA(_xlfn.IFS(AE141&gt;Dash!$H$46, "Big", AE141&lt;Dash!$H$49, "Small", AE141&gt;Dash!$H$47, "Good"), "Norm")</f>
        <v>Good</v>
      </c>
      <c r="AG141">
        <v>29.75</v>
      </c>
      <c r="AH141" t="str">
        <f>_xlfn.IFNA(_xlfn.IFS(AG141&gt;Dash!$I$46, "Big", AG141&lt;Dash!$I$49, "Small", AG141&gt;Dash!$I$47, "Good"), "Norm")</f>
        <v>Norm</v>
      </c>
    </row>
    <row r="142" spans="1:34" x14ac:dyDescent="0.25">
      <c r="A142" s="1">
        <v>45373</v>
      </c>
      <c r="B142" t="s">
        <v>26</v>
      </c>
      <c r="C142" t="s">
        <v>33</v>
      </c>
      <c r="D142" t="s">
        <v>46</v>
      </c>
      <c r="E142">
        <v>134</v>
      </c>
      <c r="F142">
        <v>700</v>
      </c>
      <c r="G142">
        <v>800</v>
      </c>
      <c r="J142" t="s">
        <v>15</v>
      </c>
      <c r="K142" t="s">
        <v>25</v>
      </c>
      <c r="L142" t="s">
        <v>32</v>
      </c>
      <c r="M142" t="s">
        <v>18</v>
      </c>
      <c r="N142">
        <v>8</v>
      </c>
      <c r="R142" t="s">
        <v>24</v>
      </c>
      <c r="S142" t="s">
        <v>46</v>
      </c>
      <c r="T142">
        <v>157</v>
      </c>
      <c r="U142" t="str">
        <f>_xlfn.IFNA(_xlfn.IFS(E142&gt;Dash!$D$46, "Big", E142&lt;Dash!$D$49, "Small", E142&gt;Dash!$D$47, "Good"), "Norm")</f>
        <v>Small</v>
      </c>
      <c r="V142" t="s">
        <v>24</v>
      </c>
      <c r="W142">
        <v>156.5</v>
      </c>
      <c r="X142" t="s">
        <v>28</v>
      </c>
      <c r="Y142">
        <v>63.25</v>
      </c>
      <c r="Z142" t="str">
        <f>_xlfn.IFNA(_xlfn.IFS(Y142&gt;Dash!$E$46, "Big", Y142&lt;Dash!$E$49, "Small", Y142&gt;Dash!$E$47, "Good"), "Norm")</f>
        <v>Norm</v>
      </c>
      <c r="AA142">
        <v>102</v>
      </c>
      <c r="AB142" t="str">
        <f>_xlfn.IFNA(_xlfn.IFS(AA142&gt;Dash!$F$46, "Big", AA142&lt;Dash!$F$49, "Small", AA142&gt;Dash!$F$47, "Good"), "Norm")</f>
        <v>Good</v>
      </c>
      <c r="AC142">
        <v>73</v>
      </c>
      <c r="AD142" t="str">
        <f>_xlfn.IFNA(_xlfn.IFS(AC142&gt;Dash!$G$46, "Big", AC142&lt;Dash!$G$49, "Small", AC142&gt;Dash!$G$47, "Good"), "Norm")</f>
        <v>Small</v>
      </c>
      <c r="AE142">
        <v>97.5</v>
      </c>
      <c r="AF142" t="str">
        <f>_xlfn.IFNA(_xlfn.IFS(AE142&gt;Dash!$H$46, "Big", AE142&lt;Dash!$H$49, "Small", AE142&gt;Dash!$H$47, "Good"), "Norm")</f>
        <v>Norm</v>
      </c>
      <c r="AG142">
        <v>22</v>
      </c>
      <c r="AH142" t="str">
        <f>_xlfn.IFNA(_xlfn.IFS(AG142&gt;Dash!$I$46, "Big", AG142&lt;Dash!$I$49, "Small", AG142&gt;Dash!$I$47, "Good"), "Norm")</f>
        <v>Norm</v>
      </c>
    </row>
    <row r="143" spans="1:34" x14ac:dyDescent="0.25">
      <c r="A143" s="1">
        <v>45376</v>
      </c>
      <c r="B143" t="s">
        <v>23</v>
      </c>
      <c r="C143" t="s">
        <v>24</v>
      </c>
      <c r="D143" t="s">
        <v>46</v>
      </c>
      <c r="E143">
        <v>157</v>
      </c>
      <c r="F143">
        <v>700</v>
      </c>
      <c r="G143">
        <v>1000</v>
      </c>
      <c r="J143" t="s">
        <v>15</v>
      </c>
      <c r="K143" t="s">
        <v>16</v>
      </c>
      <c r="L143" t="s">
        <v>25</v>
      </c>
      <c r="M143" t="s">
        <v>19</v>
      </c>
      <c r="N143">
        <v>6</v>
      </c>
      <c r="R143" t="s">
        <v>20</v>
      </c>
      <c r="S143" t="s">
        <v>43</v>
      </c>
      <c r="T143">
        <v>177.5</v>
      </c>
      <c r="U143" t="str">
        <f>_xlfn.IFNA(_xlfn.IFS(E143&gt;Dash!$D$46, "Big", E143&lt;Dash!$D$49, "Small", E143&gt;Dash!$D$47, "Good"), "Norm")</f>
        <v>Norm</v>
      </c>
      <c r="V143" t="s">
        <v>33</v>
      </c>
      <c r="W143">
        <v>134</v>
      </c>
      <c r="X143" t="s">
        <v>46</v>
      </c>
      <c r="Y143">
        <v>49.25</v>
      </c>
      <c r="Z143" t="str">
        <f>_xlfn.IFNA(_xlfn.IFS(Y143&gt;Dash!$E$46, "Big", Y143&lt;Dash!$E$49, "Small", Y143&gt;Dash!$E$47, "Good"), "Norm")</f>
        <v>Norm</v>
      </c>
      <c r="AA143">
        <v>108.5</v>
      </c>
      <c r="AB143" t="str">
        <f>_xlfn.IFNA(_xlfn.IFS(AA143&gt;Dash!$F$46, "Big", AA143&lt;Dash!$F$49, "Small", AA143&gt;Dash!$F$47, "Good"), "Norm")</f>
        <v>Good</v>
      </c>
      <c r="AC143">
        <v>138.75</v>
      </c>
      <c r="AD143" t="str">
        <f>_xlfn.IFNA(_xlfn.IFS(AC143&gt;Dash!$G$46, "Big", AC143&lt;Dash!$G$49, "Small", AC143&gt;Dash!$G$47, "Good"), "Norm")</f>
        <v>Norm</v>
      </c>
      <c r="AE143">
        <v>64.25</v>
      </c>
      <c r="AF143" t="str">
        <f>_xlfn.IFNA(_xlfn.IFS(AE143&gt;Dash!$H$46, "Big", AE143&lt;Dash!$H$49, "Small", AE143&gt;Dash!$H$47, "Good"), "Norm")</f>
        <v>Small</v>
      </c>
      <c r="AG143">
        <v>26.5</v>
      </c>
      <c r="AH143" t="str">
        <f>_xlfn.IFNA(_xlfn.IFS(AG143&gt;Dash!$I$46, "Big", AG143&lt;Dash!$I$49, "Small", AG143&gt;Dash!$I$47, "Good"), "Norm")</f>
        <v>Norm</v>
      </c>
    </row>
    <row r="144" spans="1:34" x14ac:dyDescent="0.25">
      <c r="A144" s="1">
        <v>45377</v>
      </c>
      <c r="B144" t="s">
        <v>19</v>
      </c>
      <c r="C144" t="s">
        <v>20</v>
      </c>
      <c r="D144" t="s">
        <v>43</v>
      </c>
      <c r="E144">
        <v>177.5</v>
      </c>
      <c r="F144">
        <v>300</v>
      </c>
      <c r="G144">
        <v>300</v>
      </c>
      <c r="J144" t="s">
        <v>30</v>
      </c>
      <c r="K144" t="s">
        <v>22</v>
      </c>
      <c r="L144" t="s">
        <v>17</v>
      </c>
      <c r="M144" t="s">
        <v>19</v>
      </c>
      <c r="N144">
        <v>6</v>
      </c>
      <c r="R144" t="s">
        <v>33</v>
      </c>
      <c r="S144" t="s">
        <v>46</v>
      </c>
      <c r="T144">
        <v>193.25</v>
      </c>
      <c r="U144" t="str">
        <f>_xlfn.IFNA(_xlfn.IFS(E144&gt;Dash!$D$46, "Big", E144&lt;Dash!$D$49, "Small", E144&gt;Dash!$D$47, "Good"), "Norm")</f>
        <v>Norm</v>
      </c>
      <c r="V144" t="s">
        <v>24</v>
      </c>
      <c r="W144">
        <v>157</v>
      </c>
      <c r="X144" t="s">
        <v>46</v>
      </c>
      <c r="Y144">
        <v>39.25</v>
      </c>
      <c r="Z144" t="str">
        <f>_xlfn.IFNA(_xlfn.IFS(Y144&gt;Dash!$E$46, "Big", Y144&lt;Dash!$E$49, "Small", Y144&gt;Dash!$E$47, "Good"), "Norm")</f>
        <v>Small</v>
      </c>
      <c r="AA144">
        <v>79.25</v>
      </c>
      <c r="AB144" t="str">
        <f>_xlfn.IFNA(_xlfn.IFS(AA144&gt;Dash!$F$46, "Big", AA144&lt;Dash!$F$49, "Small", AA144&gt;Dash!$F$47, "Good"), "Norm")</f>
        <v>Norm</v>
      </c>
      <c r="AC144">
        <v>82.75</v>
      </c>
      <c r="AD144" t="str">
        <f>_xlfn.IFNA(_xlfn.IFS(AC144&gt;Dash!$G$46, "Big", AC144&lt;Dash!$G$49, "Small", AC144&gt;Dash!$G$47, "Good"), "Norm")</f>
        <v>Small</v>
      </c>
      <c r="AE144">
        <v>149.5</v>
      </c>
      <c r="AF144" t="str">
        <f>_xlfn.IFNA(_xlfn.IFS(AE144&gt;Dash!$H$46, "Big", AE144&lt;Dash!$H$49, "Small", AE144&gt;Dash!$H$47, "Good"), "Norm")</f>
        <v>Norm</v>
      </c>
      <c r="AG144">
        <v>37</v>
      </c>
      <c r="AH144" t="str">
        <f>_xlfn.IFNA(_xlfn.IFS(AG144&gt;Dash!$I$46, "Big", AG144&lt;Dash!$I$49, "Small", AG144&gt;Dash!$I$47, "Good"), "Norm")</f>
        <v>Norm</v>
      </c>
    </row>
    <row r="145" spans="1:34" x14ac:dyDescent="0.25">
      <c r="A145" s="1">
        <v>45378</v>
      </c>
      <c r="B145" t="s">
        <v>18</v>
      </c>
      <c r="C145" t="s">
        <v>33</v>
      </c>
      <c r="D145" t="s">
        <v>46</v>
      </c>
      <c r="E145">
        <v>193.25</v>
      </c>
      <c r="F145">
        <v>1000</v>
      </c>
      <c r="G145">
        <v>1200</v>
      </c>
      <c r="J145" t="s">
        <v>45</v>
      </c>
      <c r="K145" t="s">
        <v>35</v>
      </c>
      <c r="L145" t="s">
        <v>25</v>
      </c>
      <c r="M145" t="s">
        <v>19</v>
      </c>
      <c r="N145">
        <v>6</v>
      </c>
      <c r="R145" t="s">
        <v>33</v>
      </c>
      <c r="S145">
        <v>1</v>
      </c>
      <c r="T145">
        <v>90</v>
      </c>
      <c r="U145" t="str">
        <f>_xlfn.IFNA(_xlfn.IFS(E145&gt;Dash!$D$46, "Big", E145&lt;Dash!$D$49, "Small", E145&gt;Dash!$D$47, "Good"), "Norm")</f>
        <v>Norm</v>
      </c>
      <c r="V145" t="s">
        <v>20</v>
      </c>
      <c r="W145">
        <v>177.5</v>
      </c>
      <c r="X145" t="s">
        <v>43</v>
      </c>
      <c r="Y145">
        <v>56</v>
      </c>
      <c r="Z145" t="str">
        <f>_xlfn.IFNA(_xlfn.IFS(Y145&gt;Dash!$E$46, "Big", Y145&lt;Dash!$E$49, "Small", Y145&gt;Dash!$E$47, "Good"), "Norm")</f>
        <v>Norm</v>
      </c>
      <c r="AA145">
        <v>71.25</v>
      </c>
      <c r="AB145" t="str">
        <f>_xlfn.IFNA(_xlfn.IFS(AA145&gt;Dash!$F$46, "Big", AA145&lt;Dash!$F$49, "Small", AA145&gt;Dash!$F$47, "Good"), "Norm")</f>
        <v>Norm</v>
      </c>
      <c r="AC145">
        <v>193.25</v>
      </c>
      <c r="AD145" t="str">
        <f>_xlfn.IFNA(_xlfn.IFS(AC145&gt;Dash!$G$46, "Big", AC145&lt;Dash!$G$49, "Small", AC145&gt;Dash!$G$47, "Good"), "Norm")</f>
        <v>Norm</v>
      </c>
      <c r="AE145">
        <v>115.75</v>
      </c>
      <c r="AF145" t="str">
        <f>_xlfn.IFNA(_xlfn.IFS(AE145&gt;Dash!$H$46, "Big", AE145&lt;Dash!$H$49, "Small", AE145&gt;Dash!$H$47, "Good"), "Norm")</f>
        <v>Norm</v>
      </c>
      <c r="AG145">
        <v>26</v>
      </c>
      <c r="AH145" t="str">
        <f>_xlfn.IFNA(_xlfn.IFS(AG145&gt;Dash!$I$46, "Big", AG145&lt;Dash!$I$49, "Small", AG145&gt;Dash!$I$47, "Good"), "Norm")</f>
        <v>Norm</v>
      </c>
    </row>
    <row r="146" spans="1:34" x14ac:dyDescent="0.25">
      <c r="A146" s="1">
        <v>45379</v>
      </c>
      <c r="B146" t="s">
        <v>36</v>
      </c>
      <c r="C146" t="s">
        <v>33</v>
      </c>
      <c r="D146">
        <v>1</v>
      </c>
      <c r="E146">
        <v>90</v>
      </c>
      <c r="J146" t="s">
        <v>34</v>
      </c>
      <c r="K146" t="s">
        <v>35</v>
      </c>
      <c r="L146" t="s">
        <v>17</v>
      </c>
      <c r="M146" t="s">
        <v>19</v>
      </c>
      <c r="N146">
        <v>6</v>
      </c>
      <c r="R146" t="s">
        <v>13</v>
      </c>
      <c r="S146" t="s">
        <v>48</v>
      </c>
      <c r="T146">
        <v>192.5</v>
      </c>
      <c r="U146" t="str">
        <f>_xlfn.IFNA(_xlfn.IFS(E146&gt;Dash!$D$46, "Big", E146&lt;Dash!$D$49, "Small", E146&gt;Dash!$D$47, "Good"), "Norm")</f>
        <v>Small</v>
      </c>
      <c r="V146" t="s">
        <v>33</v>
      </c>
      <c r="W146">
        <v>193.25</v>
      </c>
      <c r="X146" t="s">
        <v>46</v>
      </c>
      <c r="Y146">
        <v>34.75</v>
      </c>
      <c r="Z146" t="str">
        <f>_xlfn.IFNA(_xlfn.IFS(Y146&gt;Dash!$E$46, "Big", Y146&lt;Dash!$E$49, "Small", Y146&gt;Dash!$E$47, "Good"), "Norm")</f>
        <v>Small</v>
      </c>
      <c r="AA146">
        <v>55.5</v>
      </c>
      <c r="AB146" t="str">
        <f>_xlfn.IFNA(_xlfn.IFS(AA146&gt;Dash!$F$46, "Big", AA146&lt;Dash!$F$49, "Small", AA146&gt;Dash!$F$47, "Good"), "Norm")</f>
        <v>Small</v>
      </c>
      <c r="AC146">
        <v>81.5</v>
      </c>
      <c r="AD146" t="str">
        <f>_xlfn.IFNA(_xlfn.IFS(AC146&gt;Dash!$G$46, "Big", AC146&lt;Dash!$G$49, "Small", AC146&gt;Dash!$G$47, "Good"), "Norm")</f>
        <v>Small</v>
      </c>
      <c r="AE146">
        <v>69.25</v>
      </c>
      <c r="AF146" t="str">
        <f>_xlfn.IFNA(_xlfn.IFS(AE146&gt;Dash!$H$46, "Big", AE146&lt;Dash!$H$49, "Small", AE146&gt;Dash!$H$47, "Good"), "Norm")</f>
        <v>Small</v>
      </c>
      <c r="AG146">
        <v>28.75</v>
      </c>
      <c r="AH146" t="str">
        <f>_xlfn.IFNA(_xlfn.IFS(AG146&gt;Dash!$I$46, "Big", AG146&lt;Dash!$I$49, "Small", AG146&gt;Dash!$I$47, "Good"), "Norm")</f>
        <v>Norm</v>
      </c>
    </row>
    <row r="147" spans="1:34" x14ac:dyDescent="0.25">
      <c r="A147" s="1">
        <v>45383</v>
      </c>
      <c r="B147" t="s">
        <v>23</v>
      </c>
      <c r="C147" t="s">
        <v>13</v>
      </c>
      <c r="D147" t="s">
        <v>48</v>
      </c>
      <c r="E147">
        <v>192.5</v>
      </c>
      <c r="F147">
        <v>1800</v>
      </c>
      <c r="G147">
        <v>800</v>
      </c>
      <c r="H147">
        <v>1100</v>
      </c>
      <c r="I147">
        <v>1200</v>
      </c>
      <c r="J147" t="s">
        <v>29</v>
      </c>
      <c r="K147" t="s">
        <v>16</v>
      </c>
      <c r="L147" t="s">
        <v>17</v>
      </c>
      <c r="M147" t="s">
        <v>23</v>
      </c>
      <c r="N147">
        <v>9</v>
      </c>
      <c r="R147" t="s">
        <v>41</v>
      </c>
      <c r="S147" t="s">
        <v>14</v>
      </c>
      <c r="T147">
        <v>213</v>
      </c>
      <c r="U147" t="str">
        <f>_xlfn.IFNA(_xlfn.IFS(E147&gt;Dash!$D$46, "Big", E147&lt;Dash!$D$49, "Small", E147&gt;Dash!$D$47, "Good"), "Norm")</f>
        <v>Norm</v>
      </c>
      <c r="V147" t="s">
        <v>33</v>
      </c>
      <c r="W147">
        <v>90</v>
      </c>
      <c r="X147">
        <v>1</v>
      </c>
      <c r="Y147">
        <v>111.5</v>
      </c>
      <c r="Z147" t="str">
        <f>_xlfn.IFNA(_xlfn.IFS(Y147&gt;Dash!$E$46, "Big", Y147&lt;Dash!$E$49, "Small", Y147&gt;Dash!$E$47, "Good"), "Norm")</f>
        <v>Good</v>
      </c>
      <c r="AA147">
        <v>74.75</v>
      </c>
      <c r="AB147" t="str">
        <f>_xlfn.IFNA(_xlfn.IFS(AA147&gt;Dash!$F$46, "Big", AA147&lt;Dash!$F$49, "Small", AA147&gt;Dash!$F$47, "Good"), "Norm")</f>
        <v>Norm</v>
      </c>
      <c r="AC147">
        <v>186.75</v>
      </c>
      <c r="AD147" t="str">
        <f>_xlfn.IFNA(_xlfn.IFS(AC147&gt;Dash!$G$46, "Big", AC147&lt;Dash!$G$49, "Small", AC147&gt;Dash!$G$47, "Good"), "Norm")</f>
        <v>Norm</v>
      </c>
      <c r="AE147">
        <v>99.75</v>
      </c>
      <c r="AF147" t="str">
        <f>_xlfn.IFNA(_xlfn.IFS(AE147&gt;Dash!$H$46, "Big", AE147&lt;Dash!$H$49, "Small", AE147&gt;Dash!$H$47, "Good"), "Norm")</f>
        <v>Norm</v>
      </c>
      <c r="AG147">
        <v>16.75</v>
      </c>
      <c r="AH147" t="str">
        <f>_xlfn.IFNA(_xlfn.IFS(AG147&gt;Dash!$I$46, "Big", AG147&lt;Dash!$I$49, "Small", AG147&gt;Dash!$I$47, "Good"), "Norm")</f>
        <v>Small</v>
      </c>
    </row>
    <row r="148" spans="1:34" x14ac:dyDescent="0.25">
      <c r="A148" s="1">
        <v>45384</v>
      </c>
      <c r="B148" t="s">
        <v>19</v>
      </c>
      <c r="C148" t="s">
        <v>41</v>
      </c>
      <c r="D148" t="s">
        <v>14</v>
      </c>
      <c r="E148">
        <v>213</v>
      </c>
      <c r="F148">
        <v>700</v>
      </c>
      <c r="J148" t="s">
        <v>15</v>
      </c>
      <c r="K148" t="s">
        <v>22</v>
      </c>
      <c r="L148" t="s">
        <v>25</v>
      </c>
      <c r="M148" t="s">
        <v>23</v>
      </c>
      <c r="N148">
        <v>9</v>
      </c>
      <c r="R148" t="s">
        <v>33</v>
      </c>
      <c r="S148">
        <v>1</v>
      </c>
      <c r="T148">
        <v>219.25</v>
      </c>
      <c r="U148" t="str">
        <f>_xlfn.IFNA(_xlfn.IFS(E148&gt;Dash!$D$46, "Big", E148&lt;Dash!$D$49, "Small", E148&gt;Dash!$D$47, "Good"), "Norm")</f>
        <v>Norm</v>
      </c>
      <c r="V148" t="s">
        <v>13</v>
      </c>
      <c r="W148">
        <v>192.5</v>
      </c>
      <c r="X148" t="s">
        <v>48</v>
      </c>
      <c r="Y148">
        <v>43</v>
      </c>
      <c r="Z148" t="str">
        <f>_xlfn.IFNA(_xlfn.IFS(Y148&gt;Dash!$E$46, "Big", Y148&lt;Dash!$E$49, "Small", Y148&gt;Dash!$E$47, "Good"), "Norm")</f>
        <v>Norm</v>
      </c>
      <c r="AA148">
        <v>111.75</v>
      </c>
      <c r="AB148" t="str">
        <f>_xlfn.IFNA(_xlfn.IFS(AA148&gt;Dash!$F$46, "Big", AA148&lt;Dash!$F$49, "Small", AA148&gt;Dash!$F$47, "Good"), "Norm")</f>
        <v>Good</v>
      </c>
      <c r="AC148">
        <v>213</v>
      </c>
      <c r="AD148" t="str">
        <f>_xlfn.IFNA(_xlfn.IFS(AC148&gt;Dash!$G$46, "Big", AC148&lt;Dash!$G$49, "Small", AC148&gt;Dash!$G$47, "Good"), "Norm")</f>
        <v>Good</v>
      </c>
      <c r="AE148">
        <v>115.75</v>
      </c>
      <c r="AF148" t="str">
        <f>_xlfn.IFNA(_xlfn.IFS(AE148&gt;Dash!$H$46, "Big", AE148&lt;Dash!$H$49, "Small", AE148&gt;Dash!$H$47, "Good"), "Norm")</f>
        <v>Norm</v>
      </c>
      <c r="AG148">
        <v>20.5</v>
      </c>
      <c r="AH148" t="str">
        <f>_xlfn.IFNA(_xlfn.IFS(AG148&gt;Dash!$I$46, "Big", AG148&lt;Dash!$I$49, "Small", AG148&gt;Dash!$I$47, "Good"), "Norm")</f>
        <v>Small</v>
      </c>
    </row>
    <row r="149" spans="1:34" x14ac:dyDescent="0.25">
      <c r="A149" s="1">
        <v>45385</v>
      </c>
      <c r="B149" t="s">
        <v>18</v>
      </c>
      <c r="C149" t="s">
        <v>33</v>
      </c>
      <c r="D149">
        <v>1</v>
      </c>
      <c r="E149">
        <v>219.25</v>
      </c>
      <c r="J149" t="s">
        <v>34</v>
      </c>
      <c r="K149" t="s">
        <v>25</v>
      </c>
      <c r="L149" t="s">
        <v>35</v>
      </c>
      <c r="M149" t="s">
        <v>23</v>
      </c>
      <c r="N149">
        <v>9</v>
      </c>
      <c r="R149" t="s">
        <v>33</v>
      </c>
      <c r="S149" t="s">
        <v>48</v>
      </c>
      <c r="T149">
        <v>498.75</v>
      </c>
      <c r="U149" t="str">
        <f>_xlfn.IFNA(_xlfn.IFS(E149&gt;Dash!$D$46, "Big", E149&lt;Dash!$D$49, "Small", E149&gt;Dash!$D$47, "Good"), "Norm")</f>
        <v>Norm</v>
      </c>
      <c r="V149" t="s">
        <v>41</v>
      </c>
      <c r="W149">
        <v>213</v>
      </c>
      <c r="X149" t="s">
        <v>14</v>
      </c>
      <c r="Y149">
        <v>72.75</v>
      </c>
      <c r="Z149" t="str">
        <f>_xlfn.IFNA(_xlfn.IFS(Y149&gt;Dash!$E$46, "Big", Y149&lt;Dash!$E$49, "Small", Y149&gt;Dash!$E$47, "Good"), "Norm")</f>
        <v>Norm</v>
      </c>
      <c r="AA149">
        <v>57.75</v>
      </c>
      <c r="AB149" t="str">
        <f>_xlfn.IFNA(_xlfn.IFS(AA149&gt;Dash!$F$46, "Big", AA149&lt;Dash!$F$49, "Small", AA149&gt;Dash!$F$47, "Good"), "Norm")</f>
        <v>Norm</v>
      </c>
      <c r="AC149">
        <v>219.25</v>
      </c>
      <c r="AD149" t="str">
        <f>_xlfn.IFNA(_xlfn.IFS(AC149&gt;Dash!$G$46, "Big", AC149&lt;Dash!$G$49, "Small", AC149&gt;Dash!$G$47, "Good"), "Norm")</f>
        <v>Good</v>
      </c>
      <c r="AE149">
        <v>136.5</v>
      </c>
      <c r="AF149" t="str">
        <f>_xlfn.IFNA(_xlfn.IFS(AE149&gt;Dash!$H$46, "Big", AE149&lt;Dash!$H$49, "Small", AE149&gt;Dash!$H$47, "Good"), "Norm")</f>
        <v>Norm</v>
      </c>
      <c r="AG149">
        <v>31.25</v>
      </c>
      <c r="AH149" t="str">
        <f>_xlfn.IFNA(_xlfn.IFS(AG149&gt;Dash!$I$46, "Big", AG149&lt;Dash!$I$49, "Small", AG149&gt;Dash!$I$47, "Good"), "Norm")</f>
        <v>Norm</v>
      </c>
    </row>
    <row r="150" spans="1:34" x14ac:dyDescent="0.25">
      <c r="A150" s="1">
        <v>45386</v>
      </c>
      <c r="B150" t="s">
        <v>36</v>
      </c>
      <c r="C150" t="s">
        <v>33</v>
      </c>
      <c r="D150" t="s">
        <v>48</v>
      </c>
      <c r="E150">
        <v>498.75</v>
      </c>
      <c r="F150">
        <v>1900</v>
      </c>
      <c r="G150">
        <v>1900</v>
      </c>
      <c r="J150" t="s">
        <v>29</v>
      </c>
      <c r="K150" t="s">
        <v>35</v>
      </c>
      <c r="L150" t="s">
        <v>17</v>
      </c>
      <c r="M150" t="s">
        <v>23</v>
      </c>
      <c r="N150">
        <v>9</v>
      </c>
      <c r="R150" t="s">
        <v>33</v>
      </c>
      <c r="S150" t="s">
        <v>46</v>
      </c>
      <c r="T150">
        <v>356.75</v>
      </c>
      <c r="U150" t="str">
        <f>_xlfn.IFNA(_xlfn.IFS(E150&gt;Dash!$D$46, "Big", E150&lt;Dash!$D$49, "Small", E150&gt;Dash!$D$47, "Good"), "Norm")</f>
        <v>Big</v>
      </c>
      <c r="V150" t="s">
        <v>33</v>
      </c>
      <c r="W150">
        <v>219.25</v>
      </c>
      <c r="X150">
        <v>1</v>
      </c>
      <c r="Y150">
        <v>107</v>
      </c>
      <c r="Z150" t="str">
        <f>_xlfn.IFNA(_xlfn.IFS(Y150&gt;Dash!$E$46, "Big", Y150&lt;Dash!$E$49, "Small", Y150&gt;Dash!$E$47, "Good"), "Norm")</f>
        <v>Good</v>
      </c>
      <c r="AA150">
        <v>53.25</v>
      </c>
      <c r="AB150" t="str">
        <f>_xlfn.IFNA(_xlfn.IFS(AA150&gt;Dash!$F$46, "Big", AA150&lt;Dash!$F$49, "Small", AA150&gt;Dash!$F$47, "Good"), "Norm")</f>
        <v>Small</v>
      </c>
      <c r="AC150">
        <v>125.75</v>
      </c>
      <c r="AD150" t="str">
        <f>_xlfn.IFNA(_xlfn.IFS(AC150&gt;Dash!$G$46, "Big", AC150&lt;Dash!$G$49, "Small", AC150&gt;Dash!$G$47, "Good"), "Norm")</f>
        <v>Norm</v>
      </c>
      <c r="AE150">
        <v>497.5</v>
      </c>
      <c r="AF150" t="str">
        <f>_xlfn.IFNA(_xlfn.IFS(AE150&gt;Dash!$H$46, "Big", AE150&lt;Dash!$H$49, "Small", AE150&gt;Dash!$H$47, "Good"), "Norm")</f>
        <v>Big</v>
      </c>
      <c r="AG150">
        <v>44.75</v>
      </c>
      <c r="AH150" t="str">
        <f>_xlfn.IFNA(_xlfn.IFS(AG150&gt;Dash!$I$46, "Big", AG150&lt;Dash!$I$49, "Small", AG150&gt;Dash!$I$47, "Good"), "Norm")</f>
        <v>Good</v>
      </c>
    </row>
    <row r="151" spans="1:34" x14ac:dyDescent="0.25">
      <c r="A151" s="1">
        <v>45387</v>
      </c>
      <c r="B151" t="s">
        <v>26</v>
      </c>
      <c r="C151" t="s">
        <v>33</v>
      </c>
      <c r="D151" t="s">
        <v>46</v>
      </c>
      <c r="E151">
        <v>356.75</v>
      </c>
      <c r="F151">
        <v>2000</v>
      </c>
      <c r="G151">
        <v>2000</v>
      </c>
      <c r="J151" t="s">
        <v>37</v>
      </c>
      <c r="K151" t="s">
        <v>25</v>
      </c>
      <c r="L151" t="s">
        <v>32</v>
      </c>
      <c r="M151" t="s">
        <v>23</v>
      </c>
      <c r="N151">
        <v>9</v>
      </c>
      <c r="R151" t="s">
        <v>33</v>
      </c>
      <c r="S151">
        <v>1</v>
      </c>
      <c r="T151">
        <v>138.5</v>
      </c>
      <c r="U151" t="str">
        <f>_xlfn.IFNA(_xlfn.IFS(E151&gt;Dash!$D$46, "Big", E151&lt;Dash!$D$49, "Small", E151&gt;Dash!$D$47, "Good"), "Norm")</f>
        <v>Good</v>
      </c>
      <c r="V151" t="s">
        <v>33</v>
      </c>
      <c r="W151">
        <v>498.75</v>
      </c>
      <c r="X151" t="s">
        <v>48</v>
      </c>
      <c r="Y151">
        <v>72.5</v>
      </c>
      <c r="Z151" t="str">
        <f>_xlfn.IFNA(_xlfn.IFS(Y151&gt;Dash!$E$46, "Big", Y151&lt;Dash!$E$49, "Small", Y151&gt;Dash!$E$47, "Good"), "Norm")</f>
        <v>Norm</v>
      </c>
      <c r="AA151">
        <v>64.5</v>
      </c>
      <c r="AB151" t="str">
        <f>_xlfn.IFNA(_xlfn.IFS(AA151&gt;Dash!$F$46, "Big", AA151&lt;Dash!$F$49, "Small", AA151&gt;Dash!$F$47, "Good"), "Norm")</f>
        <v>Norm</v>
      </c>
      <c r="AC151">
        <v>315.25</v>
      </c>
      <c r="AD151" t="str">
        <f>_xlfn.IFNA(_xlfn.IFS(AC151&gt;Dash!$G$46, "Big", AC151&lt;Dash!$G$49, "Small", AC151&gt;Dash!$G$47, "Good"), "Norm")</f>
        <v>Good</v>
      </c>
      <c r="AE151">
        <v>157</v>
      </c>
      <c r="AF151" t="str">
        <f>_xlfn.IFNA(_xlfn.IFS(AE151&gt;Dash!$H$46, "Big", AE151&lt;Dash!$H$49, "Small", AE151&gt;Dash!$H$47, "Good"), "Norm")</f>
        <v>Good</v>
      </c>
      <c r="AG151">
        <v>29.25</v>
      </c>
      <c r="AH151" t="str">
        <f>_xlfn.IFNA(_xlfn.IFS(AG151&gt;Dash!$I$46, "Big", AG151&lt;Dash!$I$49, "Small", AG151&gt;Dash!$I$47, "Good"), "Norm")</f>
        <v>Norm</v>
      </c>
    </row>
    <row r="152" spans="1:34" x14ac:dyDescent="0.25">
      <c r="A152" s="1">
        <v>45390</v>
      </c>
      <c r="B152" t="s">
        <v>23</v>
      </c>
      <c r="C152" t="s">
        <v>33</v>
      </c>
      <c r="D152">
        <v>1</v>
      </c>
      <c r="E152">
        <v>138.5</v>
      </c>
      <c r="J152" t="s">
        <v>34</v>
      </c>
      <c r="K152" t="s">
        <v>25</v>
      </c>
      <c r="L152" t="s">
        <v>35</v>
      </c>
      <c r="M152" t="s">
        <v>18</v>
      </c>
      <c r="N152">
        <v>9</v>
      </c>
      <c r="R152" t="s">
        <v>33</v>
      </c>
      <c r="S152" t="s">
        <v>53</v>
      </c>
      <c r="T152">
        <v>244.25</v>
      </c>
      <c r="U152" t="str">
        <f>_xlfn.IFNA(_xlfn.IFS(E152&gt;Dash!$D$46, "Big", E152&lt;Dash!$D$49, "Small", E152&gt;Dash!$D$47, "Good"), "Norm")</f>
        <v>Small</v>
      </c>
      <c r="V152" t="s">
        <v>33</v>
      </c>
      <c r="W152">
        <v>356.75</v>
      </c>
      <c r="X152" t="s">
        <v>46</v>
      </c>
      <c r="Y152">
        <v>102</v>
      </c>
      <c r="Z152" t="str">
        <f>_xlfn.IFNA(_xlfn.IFS(Y152&gt;Dash!$E$46, "Big", Y152&lt;Dash!$E$49, "Small", Y152&gt;Dash!$E$47, "Good"), "Norm")</f>
        <v>Good</v>
      </c>
      <c r="AA152">
        <v>98.25</v>
      </c>
      <c r="AB152" t="str">
        <f>_xlfn.IFNA(_xlfn.IFS(AA152&gt;Dash!$F$46, "Big", AA152&lt;Dash!$F$49, "Small", AA152&gt;Dash!$F$47, "Good"), "Norm")</f>
        <v>Good</v>
      </c>
      <c r="AC152">
        <v>138.5</v>
      </c>
      <c r="AD152" t="str">
        <f>_xlfn.IFNA(_xlfn.IFS(AC152&gt;Dash!$G$46, "Big", AC152&lt;Dash!$G$49, "Small", AC152&gt;Dash!$G$47, "Good"), "Norm")</f>
        <v>Norm</v>
      </c>
      <c r="AE152">
        <v>80</v>
      </c>
      <c r="AF152" t="str">
        <f>_xlfn.IFNA(_xlfn.IFS(AE152&gt;Dash!$H$46, "Big", AE152&lt;Dash!$H$49, "Small", AE152&gt;Dash!$H$47, "Good"), "Norm")</f>
        <v>Small</v>
      </c>
      <c r="AG152">
        <v>20.75</v>
      </c>
      <c r="AH152" t="str">
        <f>_xlfn.IFNA(_xlfn.IFS(AG152&gt;Dash!$I$46, "Big", AG152&lt;Dash!$I$49, "Small", AG152&gt;Dash!$I$47, "Good"), "Norm")</f>
        <v>Small</v>
      </c>
    </row>
    <row r="153" spans="1:34" x14ac:dyDescent="0.25">
      <c r="A153" s="1">
        <v>45391</v>
      </c>
      <c r="B153" t="s">
        <v>19</v>
      </c>
      <c r="C153" t="s">
        <v>33</v>
      </c>
      <c r="D153" t="s">
        <v>53</v>
      </c>
      <c r="E153">
        <v>244.25</v>
      </c>
      <c r="F153">
        <v>900</v>
      </c>
      <c r="G153">
        <v>900</v>
      </c>
      <c r="H153">
        <v>1000</v>
      </c>
      <c r="I153">
        <v>1100</v>
      </c>
      <c r="J153" t="s">
        <v>27</v>
      </c>
      <c r="K153" t="s">
        <v>35</v>
      </c>
      <c r="L153" t="s">
        <v>25</v>
      </c>
      <c r="M153" t="s">
        <v>18</v>
      </c>
      <c r="N153">
        <v>9</v>
      </c>
      <c r="R153" t="s">
        <v>33</v>
      </c>
      <c r="S153" t="s">
        <v>48</v>
      </c>
      <c r="T153">
        <v>420.75</v>
      </c>
      <c r="U153" t="str">
        <f>_xlfn.IFNA(_xlfn.IFS(E153&gt;Dash!$D$46, "Big", E153&lt;Dash!$D$49, "Small", E153&gt;Dash!$D$47, "Good"), "Norm")</f>
        <v>Norm</v>
      </c>
      <c r="V153" t="s">
        <v>33</v>
      </c>
      <c r="W153">
        <v>138.5</v>
      </c>
      <c r="X153">
        <v>1</v>
      </c>
      <c r="Y153">
        <v>40</v>
      </c>
      <c r="Z153" t="str">
        <f>_xlfn.IFNA(_xlfn.IFS(Y153&gt;Dash!$E$46, "Big", Y153&lt;Dash!$E$49, "Small", Y153&gt;Dash!$E$47, "Good"), "Norm")</f>
        <v>Small</v>
      </c>
      <c r="AA153">
        <v>91</v>
      </c>
      <c r="AB153" t="str">
        <f>_xlfn.IFNA(_xlfn.IFS(AA153&gt;Dash!$F$46, "Big", AA153&lt;Dash!$F$49, "Small", AA153&gt;Dash!$F$47, "Good"), "Norm")</f>
        <v>Norm</v>
      </c>
      <c r="AC153">
        <v>244.25</v>
      </c>
      <c r="AD153" t="str">
        <f>_xlfn.IFNA(_xlfn.IFS(AC153&gt;Dash!$G$46, "Big", AC153&lt;Dash!$G$49, "Small", AC153&gt;Dash!$G$47, "Good"), "Norm")</f>
        <v>Good</v>
      </c>
      <c r="AE153">
        <v>149.75</v>
      </c>
      <c r="AF153" t="str">
        <f>_xlfn.IFNA(_xlfn.IFS(AE153&gt;Dash!$H$46, "Big", AE153&lt;Dash!$H$49, "Small", AE153&gt;Dash!$H$47, "Good"), "Norm")</f>
        <v>Norm</v>
      </c>
      <c r="AG153">
        <v>47.75</v>
      </c>
      <c r="AH153" t="str">
        <f>_xlfn.IFNA(_xlfn.IFS(AG153&gt;Dash!$I$46, "Big", AG153&lt;Dash!$I$49, "Small", AG153&gt;Dash!$I$47, "Good"), "Norm")</f>
        <v>Good</v>
      </c>
    </row>
    <row r="154" spans="1:34" x14ac:dyDescent="0.25">
      <c r="A154" s="1">
        <v>45392</v>
      </c>
      <c r="B154" t="s">
        <v>18</v>
      </c>
      <c r="C154" t="s">
        <v>33</v>
      </c>
      <c r="D154" t="s">
        <v>48</v>
      </c>
      <c r="E154">
        <v>420.75</v>
      </c>
      <c r="F154">
        <v>400</v>
      </c>
      <c r="G154">
        <v>400</v>
      </c>
      <c r="H154">
        <v>800</v>
      </c>
      <c r="J154" t="s">
        <v>30</v>
      </c>
      <c r="K154" t="s">
        <v>35</v>
      </c>
      <c r="L154" t="s">
        <v>25</v>
      </c>
      <c r="M154" t="s">
        <v>18</v>
      </c>
      <c r="N154">
        <v>9</v>
      </c>
      <c r="R154" t="s">
        <v>33</v>
      </c>
      <c r="S154" t="s">
        <v>28</v>
      </c>
      <c r="T154">
        <v>430.75</v>
      </c>
      <c r="U154" t="str">
        <f>_xlfn.IFNA(_xlfn.IFS(E154&gt;Dash!$D$46, "Big", E154&lt;Dash!$D$49, "Small", E154&gt;Dash!$D$47, "Good"), "Norm")</f>
        <v>Big</v>
      </c>
      <c r="V154" t="s">
        <v>33</v>
      </c>
      <c r="W154">
        <v>244.25</v>
      </c>
      <c r="X154" t="s">
        <v>53</v>
      </c>
      <c r="Y154">
        <v>24.75</v>
      </c>
      <c r="Z154" t="str">
        <f>_xlfn.IFNA(_xlfn.IFS(Y154&gt;Dash!$E$46, "Big", Y154&lt;Dash!$E$49, "Small", Y154&gt;Dash!$E$47, "Good"), "Norm")</f>
        <v>Small</v>
      </c>
      <c r="AA154">
        <v>70.25</v>
      </c>
      <c r="AB154" t="str">
        <f>_xlfn.IFNA(_xlfn.IFS(AA154&gt;Dash!$F$46, "Big", AA154&lt;Dash!$F$49, "Small", AA154&gt;Dash!$F$47, "Good"), "Norm")</f>
        <v>Norm</v>
      </c>
      <c r="AC154">
        <v>420.75</v>
      </c>
      <c r="AD154" t="str">
        <f>_xlfn.IFNA(_xlfn.IFS(AC154&gt;Dash!$G$46, "Big", AC154&lt;Dash!$G$49, "Small", AC154&gt;Dash!$G$47, "Good"), "Norm")</f>
        <v>Big</v>
      </c>
      <c r="AE154">
        <v>111</v>
      </c>
      <c r="AF154" t="str">
        <f>_xlfn.IFNA(_xlfn.IFS(AE154&gt;Dash!$H$46, "Big", AE154&lt;Dash!$H$49, "Small", AE154&gt;Dash!$H$47, "Good"), "Norm")</f>
        <v>Norm</v>
      </c>
      <c r="AG154">
        <v>47.75</v>
      </c>
      <c r="AH154" t="str">
        <f>_xlfn.IFNA(_xlfn.IFS(AG154&gt;Dash!$I$46, "Big", AG154&lt;Dash!$I$49, "Small", AG154&gt;Dash!$I$47, "Good"), "Norm")</f>
        <v>Good</v>
      </c>
    </row>
    <row r="155" spans="1:34" x14ac:dyDescent="0.25">
      <c r="A155" s="1">
        <v>45393</v>
      </c>
      <c r="B155" t="s">
        <v>36</v>
      </c>
      <c r="C155" t="s">
        <v>33</v>
      </c>
      <c r="D155" t="s">
        <v>28</v>
      </c>
      <c r="E155">
        <v>430.75</v>
      </c>
      <c r="F155">
        <v>1400</v>
      </c>
      <c r="J155" t="s">
        <v>49</v>
      </c>
      <c r="K155" t="s">
        <v>25</v>
      </c>
      <c r="L155" t="s">
        <v>32</v>
      </c>
      <c r="M155" t="s">
        <v>18</v>
      </c>
      <c r="N155">
        <v>9</v>
      </c>
      <c r="R155" t="s">
        <v>20</v>
      </c>
      <c r="S155">
        <v>1</v>
      </c>
      <c r="T155">
        <v>309</v>
      </c>
      <c r="U155" t="str">
        <f>_xlfn.IFNA(_xlfn.IFS(E155&gt;Dash!$D$46, "Big", E155&lt;Dash!$D$49, "Small", E155&gt;Dash!$D$47, "Good"), "Norm")</f>
        <v>Big</v>
      </c>
      <c r="V155" t="s">
        <v>33</v>
      </c>
      <c r="W155">
        <v>420.75</v>
      </c>
      <c r="X155" t="s">
        <v>48</v>
      </c>
      <c r="Y155">
        <v>70.25</v>
      </c>
      <c r="Z155" t="str">
        <f>_xlfn.IFNA(_xlfn.IFS(Y155&gt;Dash!$E$46, "Big", Y155&lt;Dash!$E$49, "Small", Y155&gt;Dash!$E$47, "Good"), "Norm")</f>
        <v>Norm</v>
      </c>
      <c r="AA155">
        <v>105</v>
      </c>
      <c r="AB155" t="str">
        <f>_xlfn.IFNA(_xlfn.IFS(AA155&gt;Dash!$F$46, "Big", AA155&lt;Dash!$F$49, "Small", AA155&gt;Dash!$F$47, "Good"), "Norm")</f>
        <v>Good</v>
      </c>
      <c r="AC155">
        <v>234.5</v>
      </c>
      <c r="AD155" t="str">
        <f>_xlfn.IFNA(_xlfn.IFS(AC155&gt;Dash!$G$46, "Big", AC155&lt;Dash!$G$49, "Small", AC155&gt;Dash!$G$47, "Good"), "Norm")</f>
        <v>Good</v>
      </c>
      <c r="AE155">
        <v>231</v>
      </c>
      <c r="AF155" t="str">
        <f>_xlfn.IFNA(_xlfn.IFS(AE155&gt;Dash!$H$46, "Big", AE155&lt;Dash!$H$49, "Small", AE155&gt;Dash!$H$47, "Good"), "Norm")</f>
        <v>Big</v>
      </c>
      <c r="AG155">
        <v>16.75</v>
      </c>
      <c r="AH155" t="str">
        <f>_xlfn.IFNA(_xlfn.IFS(AG155&gt;Dash!$I$46, "Big", AG155&lt;Dash!$I$49, "Small", AG155&gt;Dash!$I$47, "Good"), "Norm")</f>
        <v>Small</v>
      </c>
    </row>
    <row r="156" spans="1:34" x14ac:dyDescent="0.25">
      <c r="A156" s="1">
        <v>45394</v>
      </c>
      <c r="B156" t="s">
        <v>26</v>
      </c>
      <c r="C156" t="s">
        <v>20</v>
      </c>
      <c r="D156">
        <v>1</v>
      </c>
      <c r="E156">
        <v>309</v>
      </c>
      <c r="J156" t="s">
        <v>34</v>
      </c>
      <c r="K156" t="s">
        <v>22</v>
      </c>
      <c r="L156" t="s">
        <v>17</v>
      </c>
      <c r="M156" t="s">
        <v>18</v>
      </c>
      <c r="N156">
        <v>9</v>
      </c>
      <c r="R156" t="s">
        <v>33</v>
      </c>
      <c r="S156" t="s">
        <v>14</v>
      </c>
      <c r="T156">
        <v>509.25</v>
      </c>
      <c r="U156" t="str">
        <f>_xlfn.IFNA(_xlfn.IFS(E156&gt;Dash!$D$46, "Big", E156&lt;Dash!$D$49, "Small", E156&gt;Dash!$D$47, "Good"), "Norm")</f>
        <v>Good</v>
      </c>
      <c r="V156" t="s">
        <v>33</v>
      </c>
      <c r="W156">
        <v>430.75</v>
      </c>
      <c r="X156" t="s">
        <v>28</v>
      </c>
      <c r="Y156">
        <v>27.75</v>
      </c>
      <c r="Z156" t="str">
        <f>_xlfn.IFNA(_xlfn.IFS(Y156&gt;Dash!$E$46, "Big", Y156&lt;Dash!$E$49, "Small", Y156&gt;Dash!$E$47, "Good"), "Norm")</f>
        <v>Small</v>
      </c>
      <c r="AA156">
        <v>147.75</v>
      </c>
      <c r="AB156" t="str">
        <f>_xlfn.IFNA(_xlfn.IFS(AA156&gt;Dash!$F$46, "Big", AA156&lt;Dash!$F$49, "Small", AA156&gt;Dash!$F$47, "Good"), "Norm")</f>
        <v>Good</v>
      </c>
      <c r="AC156">
        <v>236</v>
      </c>
      <c r="AD156" t="str">
        <f>_xlfn.IFNA(_xlfn.IFS(AC156&gt;Dash!$G$46, "Big", AC156&lt;Dash!$G$49, "Small", AC156&gt;Dash!$G$47, "Good"), "Norm")</f>
        <v>Good</v>
      </c>
      <c r="AE156">
        <v>147.75</v>
      </c>
      <c r="AF156" t="str">
        <f>_xlfn.IFNA(_xlfn.IFS(AE156&gt;Dash!$H$46, "Big", AE156&lt;Dash!$H$49, "Small", AE156&gt;Dash!$H$47, "Good"), "Norm")</f>
        <v>Norm</v>
      </c>
      <c r="AG156">
        <v>27.5</v>
      </c>
      <c r="AH156" t="str">
        <f>_xlfn.IFNA(_xlfn.IFS(AG156&gt;Dash!$I$46, "Big", AG156&lt;Dash!$I$49, "Small", AG156&gt;Dash!$I$47, "Good"), "Norm")</f>
        <v>Norm</v>
      </c>
    </row>
    <row r="157" spans="1:34" x14ac:dyDescent="0.25">
      <c r="A157" s="1">
        <v>45397</v>
      </c>
      <c r="B157" t="s">
        <v>23</v>
      </c>
      <c r="C157" t="s">
        <v>33</v>
      </c>
      <c r="D157" t="s">
        <v>14</v>
      </c>
      <c r="E157">
        <v>509.25</v>
      </c>
      <c r="F157">
        <v>1200</v>
      </c>
      <c r="J157" t="s">
        <v>21</v>
      </c>
      <c r="K157" t="s">
        <v>35</v>
      </c>
      <c r="L157" t="s">
        <v>17</v>
      </c>
      <c r="M157" t="s">
        <v>23</v>
      </c>
      <c r="N157">
        <v>5</v>
      </c>
      <c r="R157" t="s">
        <v>20</v>
      </c>
      <c r="S157" t="s">
        <v>46</v>
      </c>
      <c r="T157">
        <v>170</v>
      </c>
      <c r="U157" t="str">
        <f>_xlfn.IFNA(_xlfn.IFS(E157&gt;Dash!$D$46, "Big", E157&lt;Dash!$D$49, "Small", E157&gt;Dash!$D$47, "Good"), "Norm")</f>
        <v>Big</v>
      </c>
      <c r="V157" t="s">
        <v>20</v>
      </c>
      <c r="W157">
        <v>309</v>
      </c>
      <c r="X157">
        <v>1</v>
      </c>
      <c r="Y157">
        <v>116.25</v>
      </c>
      <c r="Z157" t="str">
        <f>_xlfn.IFNA(_xlfn.IFS(Y157&gt;Dash!$E$46, "Big", Y157&lt;Dash!$E$49, "Small", Y157&gt;Dash!$E$47, "Good"), "Norm")</f>
        <v>Good</v>
      </c>
      <c r="AA157">
        <v>56.5</v>
      </c>
      <c r="AB157" t="str">
        <f>_xlfn.IFNA(_xlfn.IFS(AA157&gt;Dash!$F$46, "Big", AA157&lt;Dash!$F$49, "Small", AA157&gt;Dash!$F$47, "Good"), "Norm")</f>
        <v>Small</v>
      </c>
      <c r="AC157">
        <v>192.25</v>
      </c>
      <c r="AD157" t="str">
        <f>_xlfn.IFNA(_xlfn.IFS(AC157&gt;Dash!$G$46, "Big", AC157&lt;Dash!$G$49, "Small", AC157&gt;Dash!$G$47, "Good"), "Norm")</f>
        <v>Norm</v>
      </c>
      <c r="AE157">
        <v>385.25</v>
      </c>
      <c r="AF157" t="str">
        <f>_xlfn.IFNA(_xlfn.IFS(AE157&gt;Dash!$H$46, "Big", AE157&lt;Dash!$H$49, "Small", AE157&gt;Dash!$H$47, "Good"), "Norm")</f>
        <v>Big</v>
      </c>
      <c r="AG157">
        <v>39</v>
      </c>
      <c r="AH157" t="str">
        <f>_xlfn.IFNA(_xlfn.IFS(AG157&gt;Dash!$I$46, "Big", AG157&lt;Dash!$I$49, "Small", AG157&gt;Dash!$I$47, "Good"), "Norm")</f>
        <v>Good</v>
      </c>
    </row>
    <row r="158" spans="1:34" x14ac:dyDescent="0.25">
      <c r="A158" s="1">
        <v>45398</v>
      </c>
      <c r="B158" t="s">
        <v>19</v>
      </c>
      <c r="C158" t="s">
        <v>20</v>
      </c>
      <c r="D158" t="s">
        <v>46</v>
      </c>
      <c r="E158">
        <v>170</v>
      </c>
      <c r="F158">
        <v>2200</v>
      </c>
      <c r="G158">
        <v>2300</v>
      </c>
      <c r="J158" t="s">
        <v>37</v>
      </c>
      <c r="K158" t="s">
        <v>39</v>
      </c>
      <c r="L158" t="s">
        <v>32</v>
      </c>
      <c r="M158" t="s">
        <v>23</v>
      </c>
      <c r="N158">
        <v>5</v>
      </c>
      <c r="R158" t="s">
        <v>33</v>
      </c>
      <c r="S158" t="s">
        <v>14</v>
      </c>
      <c r="T158">
        <v>353.25</v>
      </c>
      <c r="U158" t="str">
        <f>_xlfn.IFNA(_xlfn.IFS(E158&gt;Dash!$D$46, "Big", E158&lt;Dash!$D$49, "Small", E158&gt;Dash!$D$47, "Good"), "Norm")</f>
        <v>Norm</v>
      </c>
      <c r="V158" t="s">
        <v>33</v>
      </c>
      <c r="W158">
        <v>509.25</v>
      </c>
      <c r="X158" t="s">
        <v>14</v>
      </c>
      <c r="Y158">
        <v>98</v>
      </c>
      <c r="Z158" t="str">
        <f>_xlfn.IFNA(_xlfn.IFS(Y158&gt;Dash!$E$46, "Big", Y158&lt;Dash!$E$49, "Small", Y158&gt;Dash!$E$47, "Good"), "Norm")</f>
        <v>Good</v>
      </c>
      <c r="AA158">
        <v>126.5</v>
      </c>
      <c r="AB158" t="str">
        <f>_xlfn.IFNA(_xlfn.IFS(AA158&gt;Dash!$F$46, "Big", AA158&lt;Dash!$F$49, "Small", AA158&gt;Dash!$F$47, "Good"), "Norm")</f>
        <v>Good</v>
      </c>
      <c r="AC158">
        <v>114.5</v>
      </c>
      <c r="AD158" t="str">
        <f>_xlfn.IFNA(_xlfn.IFS(AC158&gt;Dash!$G$46, "Big", AC158&lt;Dash!$G$49, "Small", AC158&gt;Dash!$G$47, "Good"), "Norm")</f>
        <v>Small</v>
      </c>
      <c r="AE158">
        <v>170</v>
      </c>
      <c r="AF158" t="str">
        <f>_xlfn.IFNA(_xlfn.IFS(AE158&gt;Dash!$H$46, "Big", AE158&lt;Dash!$H$49, "Small", AE158&gt;Dash!$H$47, "Good"), "Norm")</f>
        <v>Good</v>
      </c>
      <c r="AG158">
        <v>23</v>
      </c>
      <c r="AH158" t="str">
        <f>_xlfn.IFNA(_xlfn.IFS(AG158&gt;Dash!$I$46, "Big", AG158&lt;Dash!$I$49, "Small", AG158&gt;Dash!$I$47, "Good"), "Norm")</f>
        <v>Norm</v>
      </c>
    </row>
    <row r="159" spans="1:34" x14ac:dyDescent="0.25">
      <c r="A159" s="1">
        <v>45399</v>
      </c>
      <c r="B159" t="s">
        <v>18</v>
      </c>
      <c r="C159" t="s">
        <v>33</v>
      </c>
      <c r="D159" t="s">
        <v>14</v>
      </c>
      <c r="E159">
        <v>353.25</v>
      </c>
      <c r="F159">
        <v>200</v>
      </c>
      <c r="G159">
        <v>200</v>
      </c>
      <c r="J159" t="s">
        <v>15</v>
      </c>
      <c r="K159" t="s">
        <v>35</v>
      </c>
      <c r="L159" t="s">
        <v>17</v>
      </c>
      <c r="M159" t="s">
        <v>23</v>
      </c>
      <c r="N159">
        <v>5</v>
      </c>
      <c r="R159" t="s">
        <v>20</v>
      </c>
      <c r="S159" t="s">
        <v>14</v>
      </c>
      <c r="T159">
        <v>224.5</v>
      </c>
      <c r="U159" t="str">
        <f>_xlfn.IFNA(_xlfn.IFS(E159&gt;Dash!$D$46, "Big", E159&lt;Dash!$D$49, "Small", E159&gt;Dash!$D$47, "Good"), "Norm")</f>
        <v>Good</v>
      </c>
      <c r="V159" t="s">
        <v>20</v>
      </c>
      <c r="W159">
        <v>170</v>
      </c>
      <c r="X159" t="s">
        <v>46</v>
      </c>
      <c r="Y159">
        <v>98.25</v>
      </c>
      <c r="Z159" t="str">
        <f>_xlfn.IFNA(_xlfn.IFS(Y159&gt;Dash!$E$46, "Big", Y159&lt;Dash!$E$49, "Small", Y159&gt;Dash!$E$47, "Good"), "Norm")</f>
        <v>Good</v>
      </c>
      <c r="AA159">
        <v>164.75</v>
      </c>
      <c r="AB159" t="str">
        <f>_xlfn.IFNA(_xlfn.IFS(AA159&gt;Dash!$F$46, "Big", AA159&lt;Dash!$F$49, "Small", AA159&gt;Dash!$F$47, "Good"), "Norm")</f>
        <v>Big</v>
      </c>
      <c r="AC159">
        <v>242.25</v>
      </c>
      <c r="AD159" t="str">
        <f>_xlfn.IFNA(_xlfn.IFS(AC159&gt;Dash!$G$46, "Big", AC159&lt;Dash!$G$49, "Small", AC159&gt;Dash!$G$47, "Good"), "Norm")</f>
        <v>Good</v>
      </c>
      <c r="AE159">
        <v>181.25</v>
      </c>
      <c r="AF159" t="str">
        <f>_xlfn.IFNA(_xlfn.IFS(AE159&gt;Dash!$H$46, "Big", AE159&lt;Dash!$H$49, "Small", AE159&gt;Dash!$H$47, "Good"), "Norm")</f>
        <v>Good</v>
      </c>
      <c r="AG159">
        <v>31.5</v>
      </c>
      <c r="AH159" t="str">
        <f>_xlfn.IFNA(_xlfn.IFS(AG159&gt;Dash!$I$46, "Big", AG159&lt;Dash!$I$49, "Small", AG159&gt;Dash!$I$47, "Good"), "Norm")</f>
        <v>Norm</v>
      </c>
    </row>
    <row r="160" spans="1:34" x14ac:dyDescent="0.25">
      <c r="A160" s="1">
        <v>45400</v>
      </c>
      <c r="B160" t="s">
        <v>36</v>
      </c>
      <c r="C160" t="s">
        <v>20</v>
      </c>
      <c r="D160" t="s">
        <v>14</v>
      </c>
      <c r="E160">
        <v>224.5</v>
      </c>
      <c r="F160">
        <v>900</v>
      </c>
      <c r="G160">
        <v>1000</v>
      </c>
      <c r="J160" t="s">
        <v>45</v>
      </c>
      <c r="K160" t="s">
        <v>22</v>
      </c>
      <c r="L160" t="s">
        <v>17</v>
      </c>
      <c r="M160" t="s">
        <v>23</v>
      </c>
      <c r="N160">
        <v>5</v>
      </c>
      <c r="O160" t="s">
        <v>62</v>
      </c>
      <c r="R160" t="s">
        <v>33</v>
      </c>
      <c r="S160" t="s">
        <v>14</v>
      </c>
      <c r="T160">
        <v>440</v>
      </c>
      <c r="U160" t="str">
        <f>_xlfn.IFNA(_xlfn.IFS(E160&gt;Dash!$D$46, "Big", E160&lt;Dash!$D$49, "Small", E160&gt;Dash!$D$47, "Good"), "Norm")</f>
        <v>Norm</v>
      </c>
      <c r="V160" t="s">
        <v>33</v>
      </c>
      <c r="W160">
        <v>353.25</v>
      </c>
      <c r="X160" t="s">
        <v>14</v>
      </c>
      <c r="Y160">
        <v>85.75</v>
      </c>
      <c r="Z160" t="str">
        <f>_xlfn.IFNA(_xlfn.IFS(Y160&gt;Dash!$E$46, "Big", Y160&lt;Dash!$E$49, "Small", Y160&gt;Dash!$E$47, "Good"), "Norm")</f>
        <v>Good</v>
      </c>
      <c r="AA160">
        <v>96</v>
      </c>
      <c r="AB160" t="str">
        <f>_xlfn.IFNA(_xlfn.IFS(AA160&gt;Dash!$F$46, "Big", AA160&lt;Dash!$F$49, "Small", AA160&gt;Dash!$F$47, "Good"), "Norm")</f>
        <v>Norm</v>
      </c>
      <c r="AC160">
        <v>194</v>
      </c>
      <c r="AD160" t="str">
        <f>_xlfn.IFNA(_xlfn.IFS(AC160&gt;Dash!$G$46, "Big", AC160&lt;Dash!$G$49, "Small", AC160&gt;Dash!$G$47, "Good"), "Norm")</f>
        <v>Norm</v>
      </c>
      <c r="AE160">
        <v>191</v>
      </c>
      <c r="AF160" t="str">
        <f>_xlfn.IFNA(_xlfn.IFS(AE160&gt;Dash!$H$46, "Big", AE160&lt;Dash!$H$49, "Small", AE160&gt;Dash!$H$47, "Good"), "Norm")</f>
        <v>Good</v>
      </c>
      <c r="AG160">
        <v>80</v>
      </c>
      <c r="AH160" t="str">
        <f>_xlfn.IFNA(_xlfn.IFS(AG160&gt;Dash!$I$46, "Big", AG160&lt;Dash!$I$49, "Small", AG160&gt;Dash!$I$47, "Good"), "Norm")</f>
        <v>Good</v>
      </c>
    </row>
    <row r="161" spans="1:34" x14ac:dyDescent="0.25">
      <c r="A161" s="1">
        <v>45401</v>
      </c>
      <c r="B161" t="s">
        <v>26</v>
      </c>
      <c r="C161" t="s">
        <v>33</v>
      </c>
      <c r="D161" t="s">
        <v>14</v>
      </c>
      <c r="E161">
        <v>440</v>
      </c>
      <c r="F161">
        <v>1900</v>
      </c>
      <c r="J161" t="s">
        <v>37</v>
      </c>
      <c r="K161" t="s">
        <v>35</v>
      </c>
      <c r="L161" t="s">
        <v>32</v>
      </c>
      <c r="M161" t="s">
        <v>23</v>
      </c>
      <c r="N161">
        <v>5</v>
      </c>
      <c r="O161" t="s">
        <v>61</v>
      </c>
      <c r="R161" t="s">
        <v>33</v>
      </c>
      <c r="S161">
        <v>1</v>
      </c>
      <c r="T161">
        <v>299.5</v>
      </c>
      <c r="U161" t="str">
        <f>_xlfn.IFNA(_xlfn.IFS(E161&gt;Dash!$D$46, "Big", E161&lt;Dash!$D$49, "Small", E161&gt;Dash!$D$47, "Good"), "Norm")</f>
        <v>Big</v>
      </c>
      <c r="V161" t="s">
        <v>20</v>
      </c>
      <c r="W161">
        <v>224.5</v>
      </c>
      <c r="X161" t="s">
        <v>14</v>
      </c>
      <c r="Y161">
        <v>361</v>
      </c>
      <c r="Z161" t="str">
        <f>_xlfn.IFNA(_xlfn.IFS(Y161&gt;Dash!$E$46, "Big", Y161&lt;Dash!$E$49, "Small", Y161&gt;Dash!$E$47, "Good"), "Norm")</f>
        <v>Big</v>
      </c>
      <c r="AA161">
        <v>156.75</v>
      </c>
      <c r="AB161" t="str">
        <f>_xlfn.IFNA(_xlfn.IFS(AA161&gt;Dash!$F$46, "Big", AA161&lt;Dash!$F$49, "Small", AA161&gt;Dash!$F$47, "Good"), "Norm")</f>
        <v>Big</v>
      </c>
      <c r="AC161">
        <v>264.75</v>
      </c>
      <c r="AD161" t="str">
        <f>_xlfn.IFNA(_xlfn.IFS(AC161&gt;Dash!$G$46, "Big", AC161&lt;Dash!$G$49, "Small", AC161&gt;Dash!$G$47, "Good"), "Norm")</f>
        <v>Good</v>
      </c>
      <c r="AE161">
        <v>227.25</v>
      </c>
      <c r="AF161" t="str">
        <f>_xlfn.IFNA(_xlfn.IFS(AE161&gt;Dash!$H$46, "Big", AE161&lt;Dash!$H$49, "Small", AE161&gt;Dash!$H$47, "Good"), "Norm")</f>
        <v>Good</v>
      </c>
      <c r="AG161">
        <v>29.25</v>
      </c>
      <c r="AH161" t="str">
        <f>_xlfn.IFNA(_xlfn.IFS(AG161&gt;Dash!$I$46, "Big", AG161&lt;Dash!$I$49, "Small", AG161&gt;Dash!$I$47, "Good"), "Norm")</f>
        <v>Norm</v>
      </c>
    </row>
    <row r="162" spans="1:34" x14ac:dyDescent="0.25">
      <c r="A162" s="1">
        <v>45404</v>
      </c>
      <c r="B162" t="s">
        <v>23</v>
      </c>
      <c r="C162" t="s">
        <v>33</v>
      </c>
      <c r="D162">
        <v>1</v>
      </c>
      <c r="E162">
        <v>299.5</v>
      </c>
      <c r="J162" t="s">
        <v>34</v>
      </c>
      <c r="K162" t="s">
        <v>25</v>
      </c>
      <c r="L162" t="s">
        <v>32</v>
      </c>
      <c r="M162" t="s">
        <v>19</v>
      </c>
      <c r="N162">
        <v>7</v>
      </c>
      <c r="R162" t="s">
        <v>13</v>
      </c>
      <c r="S162" t="s">
        <v>28</v>
      </c>
      <c r="T162">
        <v>297.25</v>
      </c>
      <c r="U162" t="str">
        <f>_xlfn.IFNA(_xlfn.IFS(E162&gt;Dash!$D$46, "Big", E162&lt;Dash!$D$49, "Small", E162&gt;Dash!$D$47, "Good"), "Norm")</f>
        <v>Good</v>
      </c>
      <c r="V162" t="s">
        <v>33</v>
      </c>
      <c r="W162">
        <v>440</v>
      </c>
      <c r="X162" t="s">
        <v>14</v>
      </c>
      <c r="Y162">
        <v>87</v>
      </c>
      <c r="Z162" t="str">
        <f>_xlfn.IFNA(_xlfn.IFS(Y162&gt;Dash!$E$46, "Big", Y162&lt;Dash!$E$49, "Small", Y162&gt;Dash!$E$47, "Good"), "Norm")</f>
        <v>Good</v>
      </c>
      <c r="AA162">
        <v>80.75</v>
      </c>
      <c r="AB162" t="str">
        <f>_xlfn.IFNA(_xlfn.IFS(AA162&gt;Dash!$F$46, "Big", AA162&lt;Dash!$F$49, "Small", AA162&gt;Dash!$F$47, "Good"), "Norm")</f>
        <v>Norm</v>
      </c>
      <c r="AC162">
        <v>183</v>
      </c>
      <c r="AD162" t="str">
        <f>_xlfn.IFNA(_xlfn.IFS(AC162&gt;Dash!$G$46, "Big", AC162&lt;Dash!$G$49, "Small", AC162&gt;Dash!$G$47, "Good"), "Norm")</f>
        <v>Norm</v>
      </c>
      <c r="AE162">
        <v>213.75</v>
      </c>
      <c r="AF162" t="str">
        <f>_xlfn.IFNA(_xlfn.IFS(AE162&gt;Dash!$H$46, "Big", AE162&lt;Dash!$H$49, "Small", AE162&gt;Dash!$H$47, "Good"), "Norm")</f>
        <v>Good</v>
      </c>
      <c r="AG162">
        <v>31.75</v>
      </c>
      <c r="AH162" t="str">
        <f>_xlfn.IFNA(_xlfn.IFS(AG162&gt;Dash!$I$46, "Big", AG162&lt;Dash!$I$49, "Small", AG162&gt;Dash!$I$47, "Good"), "Norm")</f>
        <v>Norm</v>
      </c>
    </row>
    <row r="163" spans="1:34" x14ac:dyDescent="0.25">
      <c r="A163" s="1">
        <v>45405</v>
      </c>
      <c r="B163" t="s">
        <v>19</v>
      </c>
      <c r="C163" t="s">
        <v>13</v>
      </c>
      <c r="D163" t="s">
        <v>28</v>
      </c>
      <c r="E163">
        <v>297.25</v>
      </c>
      <c r="F163">
        <v>900</v>
      </c>
      <c r="J163" t="s">
        <v>27</v>
      </c>
      <c r="K163" t="s">
        <v>31</v>
      </c>
      <c r="L163" t="s">
        <v>32</v>
      </c>
      <c r="M163" t="s">
        <v>19</v>
      </c>
      <c r="N163">
        <v>7</v>
      </c>
      <c r="O163" t="s">
        <v>63</v>
      </c>
      <c r="R163" t="s">
        <v>33</v>
      </c>
      <c r="S163" t="s">
        <v>43</v>
      </c>
      <c r="T163">
        <v>228.25</v>
      </c>
      <c r="U163" t="str">
        <f>_xlfn.IFNA(_xlfn.IFS(E163&gt;Dash!$D$46, "Big", E163&lt;Dash!$D$49, "Small", E163&gt;Dash!$D$47, "Good"), "Norm")</f>
        <v>Good</v>
      </c>
      <c r="V163" t="s">
        <v>33</v>
      </c>
      <c r="W163">
        <v>299.5</v>
      </c>
      <c r="X163">
        <v>1</v>
      </c>
      <c r="Y163">
        <v>87</v>
      </c>
      <c r="Z163" t="str">
        <f>_xlfn.IFNA(_xlfn.IFS(Y163&gt;Dash!$E$46, "Big", Y163&lt;Dash!$E$49, "Small", Y163&gt;Dash!$E$47, "Good"), "Norm")</f>
        <v>Good</v>
      </c>
      <c r="AA163">
        <v>110.25</v>
      </c>
      <c r="AB163" t="str">
        <f>_xlfn.IFNA(_xlfn.IFS(AA163&gt;Dash!$F$46, "Big", AA163&lt;Dash!$F$49, "Small", AA163&gt;Dash!$F$47, "Good"), "Norm")</f>
        <v>Good</v>
      </c>
      <c r="AC163">
        <v>247.5</v>
      </c>
      <c r="AD163" t="str">
        <f>_xlfn.IFNA(_xlfn.IFS(AC163&gt;Dash!$G$46, "Big", AC163&lt;Dash!$G$49, "Small", AC163&gt;Dash!$G$47, "Good"), "Norm")</f>
        <v>Good</v>
      </c>
      <c r="AE163">
        <v>93.25</v>
      </c>
      <c r="AF163" t="str">
        <f>_xlfn.IFNA(_xlfn.IFS(AE163&gt;Dash!$H$46, "Big", AE163&lt;Dash!$H$49, "Small", AE163&gt;Dash!$H$47, "Good"), "Norm")</f>
        <v>Norm</v>
      </c>
      <c r="AG163">
        <v>74</v>
      </c>
      <c r="AH163" t="str">
        <f>_xlfn.IFNA(_xlfn.IFS(AG163&gt;Dash!$I$46, "Big", AG163&lt;Dash!$I$49, "Small", AG163&gt;Dash!$I$47, "Good"), "Norm")</f>
        <v>Good</v>
      </c>
    </row>
    <row r="164" spans="1:34" x14ac:dyDescent="0.25">
      <c r="A164" s="1">
        <v>45406</v>
      </c>
      <c r="B164" t="s">
        <v>18</v>
      </c>
      <c r="C164" t="s">
        <v>33</v>
      </c>
      <c r="D164" t="s">
        <v>43</v>
      </c>
      <c r="E164">
        <v>228.25</v>
      </c>
      <c r="F164">
        <v>1800</v>
      </c>
      <c r="G164">
        <v>1100</v>
      </c>
      <c r="J164" t="s">
        <v>29</v>
      </c>
      <c r="K164" t="s">
        <v>35</v>
      </c>
      <c r="L164" t="s">
        <v>42</v>
      </c>
      <c r="M164" t="s">
        <v>19</v>
      </c>
      <c r="N164">
        <v>7</v>
      </c>
      <c r="O164" t="s">
        <v>68</v>
      </c>
      <c r="R164" t="s">
        <v>33</v>
      </c>
      <c r="S164" t="s">
        <v>38</v>
      </c>
      <c r="T164">
        <v>296.75</v>
      </c>
      <c r="U164" t="str">
        <f>_xlfn.IFNA(_xlfn.IFS(E164&gt;Dash!$D$46, "Big", E164&lt;Dash!$D$49, "Small", E164&gt;Dash!$D$47, "Good"), "Norm")</f>
        <v>Norm</v>
      </c>
      <c r="V164" t="s">
        <v>13</v>
      </c>
      <c r="W164">
        <v>297.25</v>
      </c>
      <c r="X164" t="s">
        <v>28</v>
      </c>
      <c r="Y164">
        <v>83.25</v>
      </c>
      <c r="Z164" t="str">
        <f>_xlfn.IFNA(_xlfn.IFS(Y164&gt;Dash!$E$46, "Big", Y164&lt;Dash!$E$49, "Small", Y164&gt;Dash!$E$47, "Good"), "Norm")</f>
        <v>Good</v>
      </c>
      <c r="AA164">
        <v>77.5</v>
      </c>
      <c r="AB164" t="str">
        <f>_xlfn.IFNA(_xlfn.IFS(AA164&gt;Dash!$F$46, "Big", AA164&lt;Dash!$F$49, "Small", AA164&gt;Dash!$F$47, "Good"), "Norm")</f>
        <v>Norm</v>
      </c>
      <c r="AC164">
        <v>192.75</v>
      </c>
      <c r="AD164" t="str">
        <f>_xlfn.IFNA(_xlfn.IFS(AC164&gt;Dash!$G$46, "Big", AC164&lt;Dash!$G$49, "Small", AC164&gt;Dash!$G$47, "Good"), "Norm")</f>
        <v>Norm</v>
      </c>
      <c r="AE164">
        <v>138</v>
      </c>
      <c r="AF164" t="str">
        <f>_xlfn.IFNA(_xlfn.IFS(AE164&gt;Dash!$H$46, "Big", AE164&lt;Dash!$H$49, "Small", AE164&gt;Dash!$H$47, "Good"), "Norm")</f>
        <v>Norm</v>
      </c>
      <c r="AG164">
        <v>195.5</v>
      </c>
      <c r="AH164" t="str">
        <f>_xlfn.IFNA(_xlfn.IFS(AG164&gt;Dash!$I$46, "Big", AG164&lt;Dash!$I$49, "Small", AG164&gt;Dash!$I$47, "Good"), "Norm")</f>
        <v>Big</v>
      </c>
    </row>
    <row r="165" spans="1:34" x14ac:dyDescent="0.25">
      <c r="A165" s="1">
        <v>45407</v>
      </c>
      <c r="B165" t="s">
        <v>36</v>
      </c>
      <c r="C165" t="s">
        <v>33</v>
      </c>
      <c r="D165" t="s">
        <v>38</v>
      </c>
      <c r="E165">
        <v>296.75</v>
      </c>
      <c r="F165">
        <v>1800</v>
      </c>
      <c r="G165">
        <v>2000</v>
      </c>
      <c r="J165" t="s">
        <v>37</v>
      </c>
      <c r="K165" t="s">
        <v>25</v>
      </c>
      <c r="L165" t="s">
        <v>44</v>
      </c>
      <c r="M165" t="s">
        <v>19</v>
      </c>
      <c r="N165">
        <v>7</v>
      </c>
      <c r="O165" t="s">
        <v>64</v>
      </c>
      <c r="R165" t="s">
        <v>33</v>
      </c>
      <c r="S165" t="s">
        <v>28</v>
      </c>
      <c r="T165">
        <v>233.25</v>
      </c>
      <c r="U165" t="str">
        <f>_xlfn.IFNA(_xlfn.IFS(E165&gt;Dash!$D$46, "Big", E165&lt;Dash!$D$49, "Small", E165&gt;Dash!$D$47, "Good"), "Norm")</f>
        <v>Good</v>
      </c>
      <c r="V165" t="s">
        <v>33</v>
      </c>
      <c r="W165">
        <v>228.25</v>
      </c>
      <c r="X165" t="s">
        <v>43</v>
      </c>
      <c r="Y165">
        <v>79.5</v>
      </c>
      <c r="Z165" t="str">
        <f>_xlfn.IFNA(_xlfn.IFS(Y165&gt;Dash!$E$46, "Big", Y165&lt;Dash!$E$49, "Small", Y165&gt;Dash!$E$47, "Good"), "Norm")</f>
        <v>Good</v>
      </c>
      <c r="AA165">
        <v>117.75</v>
      </c>
      <c r="AB165" t="str">
        <f>_xlfn.IFNA(_xlfn.IFS(AA165&gt;Dash!$F$46, "Big", AA165&lt;Dash!$F$49, "Small", AA165&gt;Dash!$F$47, "Good"), "Norm")</f>
        <v>Good</v>
      </c>
      <c r="AC165">
        <v>207.25</v>
      </c>
      <c r="AD165" t="str">
        <f>_xlfn.IFNA(_xlfn.IFS(AC165&gt;Dash!$G$46, "Big", AC165&lt;Dash!$G$49, "Small", AC165&gt;Dash!$G$47, "Good"), "Norm")</f>
        <v>Good</v>
      </c>
      <c r="AE165">
        <v>208</v>
      </c>
      <c r="AF165" t="str">
        <f>_xlfn.IFNA(_xlfn.IFS(AE165&gt;Dash!$H$46, "Big", AE165&lt;Dash!$H$49, "Small", AE165&gt;Dash!$H$47, "Good"), "Norm")</f>
        <v>Good</v>
      </c>
      <c r="AG165">
        <v>279.5</v>
      </c>
      <c r="AH165" t="str">
        <f>_xlfn.IFNA(_xlfn.IFS(AG165&gt;Dash!$I$46, "Big", AG165&lt;Dash!$I$49, "Small", AG165&gt;Dash!$I$47, "Good"), "Norm")</f>
        <v>Big</v>
      </c>
    </row>
    <row r="166" spans="1:34" x14ac:dyDescent="0.25">
      <c r="A166" s="1">
        <v>45408</v>
      </c>
      <c r="B166" t="s">
        <v>26</v>
      </c>
      <c r="C166" t="s">
        <v>33</v>
      </c>
      <c r="D166" t="s">
        <v>28</v>
      </c>
      <c r="E166">
        <v>233.25</v>
      </c>
      <c r="F166">
        <v>1000</v>
      </c>
      <c r="J166" t="s">
        <v>27</v>
      </c>
      <c r="K166" t="s">
        <v>25</v>
      </c>
      <c r="L166" t="s">
        <v>32</v>
      </c>
      <c r="M166" t="s">
        <v>19</v>
      </c>
      <c r="N166">
        <v>7</v>
      </c>
      <c r="R166" t="s">
        <v>33</v>
      </c>
      <c r="S166" t="s">
        <v>28</v>
      </c>
      <c r="T166">
        <v>157.75</v>
      </c>
      <c r="U166" t="str">
        <f>_xlfn.IFNA(_xlfn.IFS(E166&gt;Dash!$D$46, "Big", E166&lt;Dash!$D$49, "Small", E166&gt;Dash!$D$47, "Good"), "Norm")</f>
        <v>Norm</v>
      </c>
      <c r="V166" t="s">
        <v>33</v>
      </c>
      <c r="W166">
        <v>296.75</v>
      </c>
      <c r="X166" t="s">
        <v>38</v>
      </c>
      <c r="Y166">
        <v>84.75</v>
      </c>
      <c r="Z166" t="str">
        <f>_xlfn.IFNA(_xlfn.IFS(Y166&gt;Dash!$E$46, "Big", Y166&lt;Dash!$E$49, "Small", Y166&gt;Dash!$E$47, "Good"), "Norm")</f>
        <v>Good</v>
      </c>
      <c r="AA166">
        <v>81.5</v>
      </c>
      <c r="AB166" t="str">
        <f>_xlfn.IFNA(_xlfn.IFS(AA166&gt;Dash!$F$46, "Big", AA166&lt;Dash!$F$49, "Small", AA166&gt;Dash!$F$47, "Good"), "Norm")</f>
        <v>Norm</v>
      </c>
      <c r="AC166">
        <v>218</v>
      </c>
      <c r="AD166" t="str">
        <f>_xlfn.IFNA(_xlfn.IFS(AC166&gt;Dash!$G$46, "Big", AC166&lt;Dash!$G$49, "Small", AC166&gt;Dash!$G$47, "Good"), "Norm")</f>
        <v>Good</v>
      </c>
      <c r="AE166">
        <v>74.75</v>
      </c>
      <c r="AF166" t="str">
        <f>_xlfn.IFNA(_xlfn.IFS(AE166&gt;Dash!$H$46, "Big", AE166&lt;Dash!$H$49, "Small", AE166&gt;Dash!$H$47, "Good"), "Norm")</f>
        <v>Small</v>
      </c>
      <c r="AG166">
        <v>17.5</v>
      </c>
      <c r="AH166" t="str">
        <f>_xlfn.IFNA(_xlfn.IFS(AG166&gt;Dash!$I$46, "Big", AG166&lt;Dash!$I$49, "Small", AG166&gt;Dash!$I$47, "Good"), "Norm")</f>
        <v>Small</v>
      </c>
    </row>
    <row r="167" spans="1:34" x14ac:dyDescent="0.25">
      <c r="A167" s="1">
        <v>45411</v>
      </c>
      <c r="B167" t="s">
        <v>23</v>
      </c>
      <c r="C167" t="s">
        <v>33</v>
      </c>
      <c r="D167" t="s">
        <v>28</v>
      </c>
      <c r="E167">
        <v>157.75</v>
      </c>
      <c r="F167">
        <v>2100</v>
      </c>
      <c r="G167">
        <v>2200</v>
      </c>
      <c r="J167" t="s">
        <v>29</v>
      </c>
      <c r="K167" t="s">
        <v>35</v>
      </c>
      <c r="L167" t="s">
        <v>17</v>
      </c>
      <c r="M167" t="s">
        <v>19</v>
      </c>
      <c r="N167">
        <v>14</v>
      </c>
      <c r="R167" t="s">
        <v>13</v>
      </c>
      <c r="S167" t="s">
        <v>14</v>
      </c>
      <c r="T167">
        <v>331.75</v>
      </c>
      <c r="U167" t="str">
        <f>_xlfn.IFNA(_xlfn.IFS(E167&gt;Dash!$D$46, "Big", E167&lt;Dash!$D$49, "Small", E167&gt;Dash!$D$47, "Good"), "Norm")</f>
        <v>Norm</v>
      </c>
      <c r="V167" t="s">
        <v>33</v>
      </c>
      <c r="W167">
        <v>233.25</v>
      </c>
      <c r="X167" t="s">
        <v>28</v>
      </c>
      <c r="Y167">
        <v>68.75</v>
      </c>
      <c r="Z167" t="str">
        <f>_xlfn.IFNA(_xlfn.IFS(Y167&gt;Dash!$E$46, "Big", Y167&lt;Dash!$E$49, "Small", Y167&gt;Dash!$E$47, "Good"), "Norm")</f>
        <v>Norm</v>
      </c>
      <c r="AA167">
        <v>57.75</v>
      </c>
      <c r="AB167" t="str">
        <f>_xlfn.IFNA(_xlfn.IFS(AA167&gt;Dash!$F$46, "Big", AA167&lt;Dash!$F$49, "Small", AA167&gt;Dash!$F$47, "Good"), "Norm")</f>
        <v>Norm</v>
      </c>
      <c r="AC167">
        <v>119</v>
      </c>
      <c r="AD167" t="str">
        <f>_xlfn.IFNA(_xlfn.IFS(AC167&gt;Dash!$G$46, "Big", AC167&lt;Dash!$G$49, "Small", AC167&gt;Dash!$G$47, "Good"), "Norm")</f>
        <v>Norm</v>
      </c>
      <c r="AE167">
        <v>140.25</v>
      </c>
      <c r="AF167" t="str">
        <f>_xlfn.IFNA(_xlfn.IFS(AE167&gt;Dash!$H$46, "Big", AE167&lt;Dash!$H$49, "Small", AE167&gt;Dash!$H$47, "Good"), "Norm")</f>
        <v>Norm</v>
      </c>
      <c r="AG167">
        <v>27.5</v>
      </c>
      <c r="AH167" t="str">
        <f>_xlfn.IFNA(_xlfn.IFS(AG167&gt;Dash!$I$46, "Big", AG167&lt;Dash!$I$49, "Small", AG167&gt;Dash!$I$47, "Good"), "Norm")</f>
        <v>Norm</v>
      </c>
    </row>
    <row r="168" spans="1:34" x14ac:dyDescent="0.25">
      <c r="A168" s="1">
        <v>45412</v>
      </c>
      <c r="B168" t="s">
        <v>19</v>
      </c>
      <c r="C168" t="s">
        <v>13</v>
      </c>
      <c r="D168" t="s">
        <v>14</v>
      </c>
      <c r="E168">
        <v>331.75</v>
      </c>
      <c r="F168">
        <v>800</v>
      </c>
      <c r="G168">
        <v>800</v>
      </c>
      <c r="J168" t="s">
        <v>45</v>
      </c>
      <c r="K168" t="s">
        <v>16</v>
      </c>
      <c r="L168" t="s">
        <v>42</v>
      </c>
      <c r="M168" t="s">
        <v>19</v>
      </c>
      <c r="N168">
        <v>14</v>
      </c>
      <c r="O168" t="s">
        <v>69</v>
      </c>
      <c r="R168" t="s">
        <v>33</v>
      </c>
      <c r="S168" t="s">
        <v>46</v>
      </c>
      <c r="T168">
        <v>394</v>
      </c>
      <c r="U168" t="str">
        <f>_xlfn.IFNA(_xlfn.IFS(E168&gt;Dash!$D$46, "Big", E168&lt;Dash!$D$49, "Small", E168&gt;Dash!$D$47, "Good"), "Norm")</f>
        <v>Good</v>
      </c>
      <c r="V168" t="s">
        <v>33</v>
      </c>
      <c r="W168">
        <v>157.75</v>
      </c>
      <c r="X168" t="s">
        <v>28</v>
      </c>
      <c r="Y168">
        <v>84.25</v>
      </c>
      <c r="Z168" t="str">
        <f>_xlfn.IFNA(_xlfn.IFS(Y168&gt;Dash!$E$46, "Big", Y168&lt;Dash!$E$49, "Small", Y168&gt;Dash!$E$47, "Good"), "Norm")</f>
        <v>Good</v>
      </c>
      <c r="AA168">
        <v>49.25</v>
      </c>
      <c r="AB168" t="str">
        <f>_xlfn.IFNA(_xlfn.IFS(AA168&gt;Dash!$F$46, "Big", AA168&lt;Dash!$F$49, "Small", AA168&gt;Dash!$F$47, "Good"), "Norm")</f>
        <v>Small</v>
      </c>
      <c r="AC168">
        <v>163.25</v>
      </c>
      <c r="AD168" t="str">
        <f>_xlfn.IFNA(_xlfn.IFS(AC168&gt;Dash!$G$46, "Big", AC168&lt;Dash!$G$49, "Small", AC168&gt;Dash!$G$47, "Good"), "Norm")</f>
        <v>Norm</v>
      </c>
      <c r="AE168">
        <v>212.5</v>
      </c>
      <c r="AF168" t="str">
        <f>_xlfn.IFNA(_xlfn.IFS(AE168&gt;Dash!$H$46, "Big", AE168&lt;Dash!$H$49, "Small", AE168&gt;Dash!$H$47, "Good"), "Norm")</f>
        <v>Good</v>
      </c>
      <c r="AG168">
        <v>157.25</v>
      </c>
      <c r="AH168" t="str">
        <f>_xlfn.IFNA(_xlfn.IFS(AG168&gt;Dash!$I$46, "Big", AG168&lt;Dash!$I$49, "Small", AG168&gt;Dash!$I$47, "Good"), "Norm")</f>
        <v>Big</v>
      </c>
    </row>
    <row r="169" spans="1:34" x14ac:dyDescent="0.25">
      <c r="A169" s="1">
        <v>45413</v>
      </c>
      <c r="B169" t="s">
        <v>18</v>
      </c>
      <c r="C169" t="s">
        <v>33</v>
      </c>
      <c r="D169" t="s">
        <v>46</v>
      </c>
      <c r="E169">
        <v>394</v>
      </c>
      <c r="F169">
        <v>1800</v>
      </c>
      <c r="G169">
        <v>1800</v>
      </c>
      <c r="J169" t="s">
        <v>37</v>
      </c>
      <c r="K169" t="s">
        <v>17</v>
      </c>
      <c r="L169" t="s">
        <v>32</v>
      </c>
      <c r="M169" t="s">
        <v>19</v>
      </c>
      <c r="N169">
        <v>14</v>
      </c>
      <c r="R169" t="s">
        <v>33</v>
      </c>
      <c r="S169" t="s">
        <v>46</v>
      </c>
      <c r="T169">
        <v>299.25</v>
      </c>
      <c r="U169" t="str">
        <f>_xlfn.IFNA(_xlfn.IFS(E169&gt;Dash!$D$46, "Big", E169&lt;Dash!$D$49, "Small", E169&gt;Dash!$D$47, "Good"), "Norm")</f>
        <v>Good</v>
      </c>
      <c r="V169" t="s">
        <v>13</v>
      </c>
      <c r="W169">
        <v>331.75</v>
      </c>
      <c r="X169" t="s">
        <v>14</v>
      </c>
      <c r="Y169">
        <v>75.5</v>
      </c>
      <c r="Z169" t="str">
        <f>_xlfn.IFNA(_xlfn.IFS(Y169&gt;Dash!$E$46, "Big", Y169&lt;Dash!$E$49, "Small", Y169&gt;Dash!$E$47, "Good"), "Norm")</f>
        <v>Norm</v>
      </c>
      <c r="AA169">
        <v>105</v>
      </c>
      <c r="AB169" t="str">
        <f>_xlfn.IFNA(_xlfn.IFS(AA169&gt;Dash!$F$46, "Big", AA169&lt;Dash!$F$49, "Small", AA169&gt;Dash!$F$47, "Good"), "Norm")</f>
        <v>Good</v>
      </c>
      <c r="AC169">
        <v>106.25</v>
      </c>
      <c r="AD169" t="str">
        <f>_xlfn.IFNA(_xlfn.IFS(AC169&gt;Dash!$G$46, "Big", AC169&lt;Dash!$G$49, "Small", AC169&gt;Dash!$G$47, "Good"), "Norm")</f>
        <v>Small</v>
      </c>
      <c r="AE169">
        <v>394</v>
      </c>
      <c r="AF169" t="str">
        <f>_xlfn.IFNA(_xlfn.IFS(AE169&gt;Dash!$H$46, "Big", AE169&lt;Dash!$H$49, "Small", AE169&gt;Dash!$H$47, "Good"), "Norm")</f>
        <v>Big</v>
      </c>
      <c r="AG169">
        <v>59.25</v>
      </c>
      <c r="AH169" t="str">
        <f>_xlfn.IFNA(_xlfn.IFS(AG169&gt;Dash!$I$46, "Big", AG169&lt;Dash!$I$49, "Small", AG169&gt;Dash!$I$47, "Good"), "Norm")</f>
        <v>Good</v>
      </c>
    </row>
    <row r="170" spans="1:34" x14ac:dyDescent="0.25">
      <c r="A170" s="1">
        <v>45414</v>
      </c>
      <c r="B170" t="s">
        <v>36</v>
      </c>
      <c r="C170" t="s">
        <v>33</v>
      </c>
      <c r="D170" t="s">
        <v>46</v>
      </c>
      <c r="E170">
        <v>299.25</v>
      </c>
      <c r="F170">
        <v>1000</v>
      </c>
      <c r="G170">
        <v>1000</v>
      </c>
      <c r="J170" t="s">
        <v>45</v>
      </c>
      <c r="K170" t="s">
        <v>25</v>
      </c>
      <c r="L170" t="s">
        <v>44</v>
      </c>
      <c r="M170" t="s">
        <v>19</v>
      </c>
      <c r="N170">
        <v>14</v>
      </c>
      <c r="O170" t="s">
        <v>70</v>
      </c>
      <c r="R170" t="s">
        <v>41</v>
      </c>
      <c r="S170" t="s">
        <v>28</v>
      </c>
      <c r="T170">
        <v>307</v>
      </c>
      <c r="U170" t="str">
        <f>_xlfn.IFNA(_xlfn.IFS(E170&gt;Dash!$D$46, "Big", E170&lt;Dash!$D$49, "Small", E170&gt;Dash!$D$47, "Good"), "Norm")</f>
        <v>Good</v>
      </c>
      <c r="V170" t="s">
        <v>33</v>
      </c>
      <c r="W170">
        <v>394</v>
      </c>
      <c r="X170" t="s">
        <v>46</v>
      </c>
      <c r="Y170">
        <v>74.25</v>
      </c>
      <c r="Z170" t="str">
        <f>_xlfn.IFNA(_xlfn.IFS(Y170&gt;Dash!$E$46, "Big", Y170&lt;Dash!$E$49, "Small", Y170&gt;Dash!$E$47, "Good"), "Norm")</f>
        <v>Norm</v>
      </c>
      <c r="AA170">
        <v>94.25</v>
      </c>
      <c r="AB170" t="str">
        <f>_xlfn.IFNA(_xlfn.IFS(AA170&gt;Dash!$F$46, "Big", AA170&lt;Dash!$F$49, "Small", AA170&gt;Dash!$F$47, "Good"), "Norm")</f>
        <v>Norm</v>
      </c>
      <c r="AC170">
        <v>233.5</v>
      </c>
      <c r="AD170" t="str">
        <f>_xlfn.IFNA(_xlfn.IFS(AC170&gt;Dash!$G$46, "Big", AC170&lt;Dash!$G$49, "Small", AC170&gt;Dash!$G$47, "Good"), "Norm")</f>
        <v>Good</v>
      </c>
      <c r="AE170">
        <v>192.25</v>
      </c>
      <c r="AF170" t="str">
        <f>_xlfn.IFNA(_xlfn.IFS(AE170&gt;Dash!$H$46, "Big", AE170&lt;Dash!$H$49, "Small", AE170&gt;Dash!$H$47, "Good"), "Norm")</f>
        <v>Good</v>
      </c>
      <c r="AG170">
        <v>121.25</v>
      </c>
      <c r="AH170" t="str">
        <f>_xlfn.IFNA(_xlfn.IFS(AG170&gt;Dash!$I$46, "Big", AG170&lt;Dash!$I$49, "Small", AG170&gt;Dash!$I$47, "Good"), "Norm")</f>
        <v>Big</v>
      </c>
    </row>
    <row r="171" spans="1:34" x14ac:dyDescent="0.25">
      <c r="A171" s="1">
        <v>45415</v>
      </c>
      <c r="B171" t="s">
        <v>26</v>
      </c>
      <c r="C171" t="s">
        <v>41</v>
      </c>
      <c r="D171" t="s">
        <v>28</v>
      </c>
      <c r="E171">
        <v>307</v>
      </c>
      <c r="F171">
        <v>1800</v>
      </c>
      <c r="G171">
        <v>1800</v>
      </c>
      <c r="J171" t="s">
        <v>29</v>
      </c>
      <c r="K171" t="s">
        <v>39</v>
      </c>
      <c r="L171" t="s">
        <v>35</v>
      </c>
      <c r="M171" t="s">
        <v>19</v>
      </c>
      <c r="N171">
        <v>14</v>
      </c>
      <c r="R171" t="s">
        <v>13</v>
      </c>
      <c r="S171" t="s">
        <v>28</v>
      </c>
      <c r="T171">
        <v>160.75</v>
      </c>
      <c r="U171" t="str">
        <f>_xlfn.IFNA(_xlfn.IFS(E171&gt;Dash!$D$46, "Big", E171&lt;Dash!$D$49, "Small", E171&gt;Dash!$D$47, "Good"), "Norm")</f>
        <v>Good</v>
      </c>
      <c r="V171" t="s">
        <v>33</v>
      </c>
      <c r="W171">
        <v>299.25</v>
      </c>
      <c r="X171" t="s">
        <v>46</v>
      </c>
      <c r="Y171">
        <v>85.5</v>
      </c>
      <c r="Z171" t="str">
        <f>_xlfn.IFNA(_xlfn.IFS(Y171&gt;Dash!$E$46, "Big", Y171&lt;Dash!$E$49, "Small", Y171&gt;Dash!$E$47, "Good"), "Norm")</f>
        <v>Good</v>
      </c>
      <c r="AA171">
        <v>59.5</v>
      </c>
      <c r="AB171" t="str">
        <f>_xlfn.IFNA(_xlfn.IFS(AA171&gt;Dash!$F$46, "Big", AA171&lt;Dash!$F$49, "Small", AA171&gt;Dash!$F$47, "Good"), "Norm")</f>
        <v>Norm</v>
      </c>
      <c r="AC171">
        <v>307</v>
      </c>
      <c r="AD171" t="str">
        <f>_xlfn.IFNA(_xlfn.IFS(AC171&gt;Dash!$G$46, "Big", AC171&lt;Dash!$G$49, "Small", AC171&gt;Dash!$G$47, "Good"), "Norm")</f>
        <v>Good</v>
      </c>
      <c r="AE171">
        <v>65.75</v>
      </c>
      <c r="AF171" t="str">
        <f>_xlfn.IFNA(_xlfn.IFS(AE171&gt;Dash!$H$46, "Big", AE171&lt;Dash!$H$49, "Small", AE171&gt;Dash!$H$47, "Good"), "Norm")</f>
        <v>Small</v>
      </c>
      <c r="AG171">
        <v>27.5</v>
      </c>
      <c r="AH171" t="str">
        <f>_xlfn.IFNA(_xlfn.IFS(AG171&gt;Dash!$I$46, "Big", AG171&lt;Dash!$I$49, "Small", AG171&gt;Dash!$I$47, "Good"), "Norm")</f>
        <v>Norm</v>
      </c>
    </row>
    <row r="172" spans="1:34" x14ac:dyDescent="0.25">
      <c r="A172" s="1">
        <v>45418</v>
      </c>
      <c r="B172" t="s">
        <v>23</v>
      </c>
      <c r="C172" t="s">
        <v>13</v>
      </c>
      <c r="D172" t="s">
        <v>28</v>
      </c>
      <c r="E172">
        <v>160.75</v>
      </c>
      <c r="F172">
        <v>1800</v>
      </c>
      <c r="G172">
        <v>1800</v>
      </c>
      <c r="J172" t="s">
        <v>29</v>
      </c>
      <c r="K172" t="s">
        <v>31</v>
      </c>
      <c r="L172" t="s">
        <v>32</v>
      </c>
      <c r="M172" t="s">
        <v>36</v>
      </c>
      <c r="N172">
        <v>3</v>
      </c>
      <c r="R172" t="s">
        <v>20</v>
      </c>
      <c r="S172" t="s">
        <v>28</v>
      </c>
      <c r="T172">
        <v>106.25</v>
      </c>
      <c r="U172" t="str">
        <f>_xlfn.IFNA(_xlfn.IFS(E172&gt;Dash!$D$46, "Big", E172&lt;Dash!$D$49, "Small", E172&gt;Dash!$D$47, "Good"), "Norm")</f>
        <v>Norm</v>
      </c>
      <c r="V172" t="s">
        <v>41</v>
      </c>
      <c r="W172">
        <v>307</v>
      </c>
      <c r="X172" t="s">
        <v>28</v>
      </c>
      <c r="Y172">
        <v>80</v>
      </c>
      <c r="Z172" t="str">
        <f>_xlfn.IFNA(_xlfn.IFS(Y172&gt;Dash!$E$46, "Big", Y172&lt;Dash!$E$49, "Small", Y172&gt;Dash!$E$47, "Good"), "Norm")</f>
        <v>Good</v>
      </c>
      <c r="AA172">
        <v>64.25</v>
      </c>
      <c r="AB172" t="str">
        <f>_xlfn.IFNA(_xlfn.IFS(AA172&gt;Dash!$F$46, "Big", AA172&lt;Dash!$F$49, "Small", AA172&gt;Dash!$F$47, "Good"), "Norm")</f>
        <v>Norm</v>
      </c>
      <c r="AC172">
        <v>84</v>
      </c>
      <c r="AD172" t="str">
        <f>_xlfn.IFNA(_xlfn.IFS(AC172&gt;Dash!$G$46, "Big", AC172&lt;Dash!$G$49, "Small", AC172&gt;Dash!$G$47, "Good"), "Norm")</f>
        <v>Small</v>
      </c>
      <c r="AE172">
        <v>131</v>
      </c>
      <c r="AF172" t="str">
        <f>_xlfn.IFNA(_xlfn.IFS(AE172&gt;Dash!$H$46, "Big", AE172&lt;Dash!$H$49, "Small", AE172&gt;Dash!$H$47, "Good"), "Norm")</f>
        <v>Norm</v>
      </c>
      <c r="AG172">
        <v>22</v>
      </c>
      <c r="AH172" t="str">
        <f>_xlfn.IFNA(_xlfn.IFS(AG172&gt;Dash!$I$46, "Big", AG172&lt;Dash!$I$49, "Small", AG172&gt;Dash!$I$47, "Good"), "Norm")</f>
        <v>Norm</v>
      </c>
    </row>
    <row r="173" spans="1:34" x14ac:dyDescent="0.25">
      <c r="A173" s="1">
        <v>45419</v>
      </c>
      <c r="B173" t="s">
        <v>19</v>
      </c>
      <c r="C173" t="s">
        <v>20</v>
      </c>
      <c r="D173" t="s">
        <v>28</v>
      </c>
      <c r="E173">
        <v>106.25</v>
      </c>
      <c r="F173">
        <v>900</v>
      </c>
      <c r="G173">
        <v>900</v>
      </c>
      <c r="J173" t="s">
        <v>27</v>
      </c>
      <c r="K173" t="s">
        <v>39</v>
      </c>
      <c r="L173" t="s">
        <v>32</v>
      </c>
      <c r="M173" t="s">
        <v>36</v>
      </c>
      <c r="N173">
        <v>3</v>
      </c>
      <c r="R173" t="s">
        <v>33</v>
      </c>
      <c r="S173" t="s">
        <v>14</v>
      </c>
      <c r="T173">
        <v>169.75</v>
      </c>
      <c r="U173" t="str">
        <f>_xlfn.IFNA(_xlfn.IFS(E173&gt;Dash!$D$46, "Big", E173&lt;Dash!$D$49, "Small", E173&gt;Dash!$D$47, "Good"), "Norm")</f>
        <v>Small</v>
      </c>
      <c r="V173" t="s">
        <v>13</v>
      </c>
      <c r="W173">
        <v>160.75</v>
      </c>
      <c r="X173" t="s">
        <v>28</v>
      </c>
      <c r="Y173">
        <v>28</v>
      </c>
      <c r="Z173" t="str">
        <f>_xlfn.IFNA(_xlfn.IFS(Y173&gt;Dash!$E$46, "Big", Y173&lt;Dash!$E$49, "Small", Y173&gt;Dash!$E$47, "Good"), "Norm")</f>
        <v>Small</v>
      </c>
      <c r="AA173">
        <v>48</v>
      </c>
      <c r="AB173" t="str">
        <f>_xlfn.IFNA(_xlfn.IFS(AA173&gt;Dash!$F$46, "Big", AA173&lt;Dash!$F$49, "Small", AA173&gt;Dash!$F$47, "Good"), "Norm")</f>
        <v>Small</v>
      </c>
      <c r="AC173">
        <v>103.75</v>
      </c>
      <c r="AD173" t="str">
        <f>_xlfn.IFNA(_xlfn.IFS(AC173&gt;Dash!$G$46, "Big", AC173&lt;Dash!$G$49, "Small", AC173&gt;Dash!$G$47, "Good"), "Norm")</f>
        <v>Small</v>
      </c>
      <c r="AE173">
        <v>99.75</v>
      </c>
      <c r="AF173" t="str">
        <f>_xlfn.IFNA(_xlfn.IFS(AE173&gt;Dash!$H$46, "Big", AE173&lt;Dash!$H$49, "Small", AE173&gt;Dash!$H$47, "Good"), "Norm")</f>
        <v>Norm</v>
      </c>
      <c r="AG173">
        <v>22.25</v>
      </c>
      <c r="AH173" t="str">
        <f>_xlfn.IFNA(_xlfn.IFS(AG173&gt;Dash!$I$46, "Big", AG173&lt;Dash!$I$49, "Small", AG173&gt;Dash!$I$47, "Good"), "Norm")</f>
        <v>Norm</v>
      </c>
    </row>
    <row r="174" spans="1:34" x14ac:dyDescent="0.25">
      <c r="A174" s="1">
        <v>45420</v>
      </c>
      <c r="B174" t="s">
        <v>18</v>
      </c>
      <c r="C174" t="s">
        <v>33</v>
      </c>
      <c r="D174" t="s">
        <v>14</v>
      </c>
      <c r="E174">
        <v>169.75</v>
      </c>
      <c r="F174">
        <v>700</v>
      </c>
      <c r="G174">
        <v>900</v>
      </c>
      <c r="J174" t="s">
        <v>15</v>
      </c>
      <c r="K174" t="s">
        <v>25</v>
      </c>
      <c r="L174" t="s">
        <v>35</v>
      </c>
      <c r="M174" t="s">
        <v>36</v>
      </c>
      <c r="N174">
        <v>3</v>
      </c>
      <c r="R174" t="s">
        <v>20</v>
      </c>
      <c r="S174">
        <v>1</v>
      </c>
      <c r="T174">
        <v>130.5</v>
      </c>
      <c r="U174" t="str">
        <f>_xlfn.IFNA(_xlfn.IFS(E174&gt;Dash!$D$46, "Big", E174&lt;Dash!$D$49, "Small", E174&gt;Dash!$D$47, "Good"), "Norm")</f>
        <v>Norm</v>
      </c>
      <c r="V174" t="s">
        <v>20</v>
      </c>
      <c r="W174">
        <v>106.25</v>
      </c>
      <c r="X174" t="s">
        <v>28</v>
      </c>
      <c r="Y174">
        <v>34.5</v>
      </c>
      <c r="Z174" t="str">
        <f>_xlfn.IFNA(_xlfn.IFS(Y174&gt;Dash!$E$46, "Big", Y174&lt;Dash!$E$49, "Small", Y174&gt;Dash!$E$47, "Good"), "Norm")</f>
        <v>Small</v>
      </c>
      <c r="AA174">
        <v>69.75</v>
      </c>
      <c r="AB174" t="str">
        <f>_xlfn.IFNA(_xlfn.IFS(AA174&gt;Dash!$F$46, "Big", AA174&lt;Dash!$F$49, "Small", AA174&gt;Dash!$F$47, "Good"), "Norm")</f>
        <v>Norm</v>
      </c>
      <c r="AC174">
        <v>169.75</v>
      </c>
      <c r="AD174" t="str">
        <f>_xlfn.IFNA(_xlfn.IFS(AC174&gt;Dash!$G$46, "Big", AC174&lt;Dash!$G$49, "Small", AC174&gt;Dash!$G$47, "Good"), "Norm")</f>
        <v>Norm</v>
      </c>
      <c r="AE174">
        <v>62.75</v>
      </c>
      <c r="AF174" t="str">
        <f>_xlfn.IFNA(_xlfn.IFS(AE174&gt;Dash!$H$46, "Big", AE174&lt;Dash!$H$49, "Small", AE174&gt;Dash!$H$47, "Good"), "Norm")</f>
        <v>Small</v>
      </c>
      <c r="AG174">
        <v>31</v>
      </c>
      <c r="AH174" t="str">
        <f>_xlfn.IFNA(_xlfn.IFS(AG174&gt;Dash!$I$46, "Big", AG174&lt;Dash!$I$49, "Small", AG174&gt;Dash!$I$47, "Good"), "Norm")</f>
        <v>Norm</v>
      </c>
    </row>
    <row r="175" spans="1:34" x14ac:dyDescent="0.25">
      <c r="A175" s="1">
        <v>45421</v>
      </c>
      <c r="B175" t="s">
        <v>36</v>
      </c>
      <c r="C175" t="s">
        <v>20</v>
      </c>
      <c r="D175">
        <v>1</v>
      </c>
      <c r="E175">
        <v>130.5</v>
      </c>
      <c r="J175" t="s">
        <v>34</v>
      </c>
      <c r="K175" t="s">
        <v>39</v>
      </c>
      <c r="L175" t="s">
        <v>32</v>
      </c>
      <c r="M175" t="s">
        <v>36</v>
      </c>
      <c r="N175">
        <v>3</v>
      </c>
      <c r="R175" t="s">
        <v>33</v>
      </c>
      <c r="S175" t="s">
        <v>28</v>
      </c>
      <c r="T175">
        <v>159.5</v>
      </c>
      <c r="U175" t="str">
        <f>_xlfn.IFNA(_xlfn.IFS(E175&gt;Dash!$D$46, "Big", E175&lt;Dash!$D$49, "Small", E175&gt;Dash!$D$47, "Good"), "Norm")</f>
        <v>Small</v>
      </c>
      <c r="V175" t="s">
        <v>33</v>
      </c>
      <c r="W175">
        <v>169.75</v>
      </c>
      <c r="X175" t="s">
        <v>14</v>
      </c>
      <c r="Y175">
        <v>32.25</v>
      </c>
      <c r="Z175" t="str">
        <f>_xlfn.IFNA(_xlfn.IFS(Y175&gt;Dash!$E$46, "Big", Y175&lt;Dash!$E$49, "Small", Y175&gt;Dash!$E$47, "Good"), "Norm")</f>
        <v>Small</v>
      </c>
      <c r="AA175">
        <v>60.75</v>
      </c>
      <c r="AB175" t="str">
        <f>_xlfn.IFNA(_xlfn.IFS(AA175&gt;Dash!$F$46, "Big", AA175&lt;Dash!$F$49, "Small", AA175&gt;Dash!$F$47, "Good"), "Norm")</f>
        <v>Norm</v>
      </c>
      <c r="AC175">
        <v>128.5</v>
      </c>
      <c r="AD175" t="str">
        <f>_xlfn.IFNA(_xlfn.IFS(AC175&gt;Dash!$G$46, "Big", AC175&lt;Dash!$G$49, "Small", AC175&gt;Dash!$G$47, "Good"), "Norm")</f>
        <v>Norm</v>
      </c>
      <c r="AE175">
        <v>69.25</v>
      </c>
      <c r="AF175" t="str">
        <f>_xlfn.IFNA(_xlfn.IFS(AE175&gt;Dash!$H$46, "Big", AE175&lt;Dash!$H$49, "Small", AE175&gt;Dash!$H$47, "Good"), "Norm")</f>
        <v>Small</v>
      </c>
      <c r="AG175">
        <v>29.25</v>
      </c>
      <c r="AH175" t="str">
        <f>_xlfn.IFNA(_xlfn.IFS(AG175&gt;Dash!$I$46, "Big", AG175&lt;Dash!$I$49, "Small", AG175&gt;Dash!$I$47, "Good"), "Norm")</f>
        <v>Norm</v>
      </c>
    </row>
    <row r="176" spans="1:34" x14ac:dyDescent="0.25">
      <c r="A176" s="1">
        <v>45422</v>
      </c>
      <c r="B176" t="s">
        <v>26</v>
      </c>
      <c r="C176" t="s">
        <v>33</v>
      </c>
      <c r="D176" t="s">
        <v>28</v>
      </c>
      <c r="E176">
        <v>159.5</v>
      </c>
      <c r="F176">
        <v>200</v>
      </c>
      <c r="G176">
        <v>1000</v>
      </c>
      <c r="J176" t="s">
        <v>29</v>
      </c>
      <c r="K176" t="s">
        <v>35</v>
      </c>
      <c r="L176" t="s">
        <v>25</v>
      </c>
      <c r="M176" t="s">
        <v>36</v>
      </c>
      <c r="N176">
        <v>3</v>
      </c>
      <c r="R176" t="s">
        <v>24</v>
      </c>
      <c r="S176">
        <v>1</v>
      </c>
      <c r="T176">
        <v>101.25</v>
      </c>
      <c r="U176" t="str">
        <f>_xlfn.IFNA(_xlfn.IFS(E176&gt;Dash!$D$46, "Big", E176&lt;Dash!$D$49, "Small", E176&gt;Dash!$D$47, "Good"), "Norm")</f>
        <v>Norm</v>
      </c>
      <c r="V176" t="s">
        <v>20</v>
      </c>
      <c r="W176">
        <v>130.5</v>
      </c>
      <c r="X176">
        <v>1</v>
      </c>
      <c r="Y176">
        <v>31.25</v>
      </c>
      <c r="Z176" t="str">
        <f>_xlfn.IFNA(_xlfn.IFS(Y176&gt;Dash!$E$46, "Big", Y176&lt;Dash!$E$49, "Small", Y176&gt;Dash!$E$47, "Good"), "Norm")</f>
        <v>Small</v>
      </c>
      <c r="AA176">
        <v>85.25</v>
      </c>
      <c r="AB176" t="str">
        <f>_xlfn.IFNA(_xlfn.IFS(AA176&gt;Dash!$F$46, "Big", AA176&lt;Dash!$F$49, "Small", AA176&gt;Dash!$F$47, "Good"), "Norm")</f>
        <v>Norm</v>
      </c>
      <c r="AC176">
        <v>159.5</v>
      </c>
      <c r="AD176" t="str">
        <f>_xlfn.IFNA(_xlfn.IFS(AC176&gt;Dash!$G$46, "Big", AC176&lt;Dash!$G$49, "Small", AC176&gt;Dash!$G$47, "Good"), "Norm")</f>
        <v>Norm</v>
      </c>
      <c r="AE176">
        <v>63.5</v>
      </c>
      <c r="AF176" t="str">
        <f>_xlfn.IFNA(_xlfn.IFS(AE176&gt;Dash!$H$46, "Big", AE176&lt;Dash!$H$49, "Small", AE176&gt;Dash!$H$47, "Good"), "Norm")</f>
        <v>Small</v>
      </c>
      <c r="AG176">
        <v>17.25</v>
      </c>
      <c r="AH176" t="str">
        <f>_xlfn.IFNA(_xlfn.IFS(AG176&gt;Dash!$I$46, "Big", AG176&lt;Dash!$I$49, "Small", AG176&gt;Dash!$I$47, "Good"), "Norm")</f>
        <v>Small</v>
      </c>
    </row>
    <row r="177" spans="1:34" x14ac:dyDescent="0.25">
      <c r="A177" s="1">
        <v>45425</v>
      </c>
      <c r="B177" t="s">
        <v>23</v>
      </c>
      <c r="C177" t="s">
        <v>24</v>
      </c>
      <c r="D177">
        <v>1</v>
      </c>
      <c r="E177">
        <v>101.25</v>
      </c>
      <c r="J177" t="s">
        <v>34</v>
      </c>
      <c r="K177" t="s">
        <v>31</v>
      </c>
      <c r="L177" t="s">
        <v>35</v>
      </c>
      <c r="M177" t="s">
        <v>19</v>
      </c>
      <c r="N177">
        <v>10</v>
      </c>
      <c r="R177" t="s">
        <v>33</v>
      </c>
      <c r="S177" t="s">
        <v>53</v>
      </c>
      <c r="T177">
        <v>267.5</v>
      </c>
      <c r="U177" t="str">
        <f>_xlfn.IFNA(_xlfn.IFS(E177&gt;Dash!$D$46, "Big", E177&lt;Dash!$D$49, "Small", E177&gt;Dash!$D$47, "Good"), "Norm")</f>
        <v>Small</v>
      </c>
      <c r="V177" t="s">
        <v>33</v>
      </c>
      <c r="W177">
        <v>159.5</v>
      </c>
      <c r="X177" t="s">
        <v>28</v>
      </c>
      <c r="Y177">
        <v>69.75</v>
      </c>
      <c r="Z177" t="str">
        <f>_xlfn.IFNA(_xlfn.IFS(Y177&gt;Dash!$E$46, "Big", Y177&lt;Dash!$E$49, "Small", Y177&gt;Dash!$E$47, "Good"), "Norm")</f>
        <v>Norm</v>
      </c>
      <c r="AA177">
        <v>47.25</v>
      </c>
      <c r="AB177" t="str">
        <f>_xlfn.IFNA(_xlfn.IFS(AA177&gt;Dash!$F$46, "Big", AA177&lt;Dash!$F$49, "Small", AA177&gt;Dash!$F$47, "Good"), "Norm")</f>
        <v>Small</v>
      </c>
      <c r="AC177">
        <v>84</v>
      </c>
      <c r="AD177" t="str">
        <f>_xlfn.IFNA(_xlfn.IFS(AC177&gt;Dash!$G$46, "Big", AC177&lt;Dash!$G$49, "Small", AC177&gt;Dash!$G$47, "Good"), "Norm")</f>
        <v>Small</v>
      </c>
      <c r="AE177">
        <v>74.5</v>
      </c>
      <c r="AF177" t="str">
        <f>_xlfn.IFNA(_xlfn.IFS(AE177&gt;Dash!$H$46, "Big", AE177&lt;Dash!$H$49, "Small", AE177&gt;Dash!$H$47, "Good"), "Norm")</f>
        <v>Small</v>
      </c>
      <c r="AG177">
        <v>18.5</v>
      </c>
      <c r="AH177" t="str">
        <f>_xlfn.IFNA(_xlfn.IFS(AG177&gt;Dash!$I$46, "Big", AG177&lt;Dash!$I$49, "Small", AG177&gt;Dash!$I$47, "Good"), "Norm")</f>
        <v>Small</v>
      </c>
    </row>
    <row r="178" spans="1:34" x14ac:dyDescent="0.25">
      <c r="A178" s="1">
        <v>45426</v>
      </c>
      <c r="B178" t="s">
        <v>19</v>
      </c>
      <c r="C178" t="s">
        <v>33</v>
      </c>
      <c r="D178" t="s">
        <v>53</v>
      </c>
      <c r="E178">
        <v>267.5</v>
      </c>
      <c r="F178">
        <v>800</v>
      </c>
      <c r="G178">
        <v>800</v>
      </c>
      <c r="H178">
        <v>1000</v>
      </c>
      <c r="I178">
        <v>1100</v>
      </c>
      <c r="J178" t="s">
        <v>45</v>
      </c>
      <c r="K178" t="s">
        <v>25</v>
      </c>
      <c r="L178" t="s">
        <v>32</v>
      </c>
      <c r="M178" t="s">
        <v>19</v>
      </c>
      <c r="N178">
        <v>10</v>
      </c>
      <c r="R178" t="s">
        <v>20</v>
      </c>
      <c r="S178" t="s">
        <v>28</v>
      </c>
      <c r="T178">
        <v>313.5</v>
      </c>
      <c r="U178" t="str">
        <f>_xlfn.IFNA(_xlfn.IFS(E178&gt;Dash!$D$46, "Big", E178&lt;Dash!$D$49, "Small", E178&gt;Dash!$D$47, "Good"), "Norm")</f>
        <v>Good</v>
      </c>
      <c r="V178" t="s">
        <v>24</v>
      </c>
      <c r="W178">
        <v>101.25</v>
      </c>
      <c r="X178">
        <v>1</v>
      </c>
      <c r="Y178">
        <v>27.25</v>
      </c>
      <c r="Z178" t="str">
        <f>_xlfn.IFNA(_xlfn.IFS(Y178&gt;Dash!$E$46, "Big", Y178&lt;Dash!$E$49, "Small", Y178&gt;Dash!$E$47, "Good"), "Norm")</f>
        <v>Small</v>
      </c>
      <c r="AA178">
        <v>28.75</v>
      </c>
      <c r="AB178" t="str">
        <f>_xlfn.IFNA(_xlfn.IFS(AA178&gt;Dash!$F$46, "Big", AA178&lt;Dash!$F$49, "Small", AA178&gt;Dash!$F$47, "Good"), "Norm")</f>
        <v>Small</v>
      </c>
      <c r="AC178">
        <v>205.25</v>
      </c>
      <c r="AD178" t="str">
        <f>_xlfn.IFNA(_xlfn.IFS(AC178&gt;Dash!$G$46, "Big", AC178&lt;Dash!$G$49, "Small", AC178&gt;Dash!$G$47, "Good"), "Norm")</f>
        <v>Good</v>
      </c>
      <c r="AE178">
        <v>135</v>
      </c>
      <c r="AF178" t="str">
        <f>_xlfn.IFNA(_xlfn.IFS(AE178&gt;Dash!$H$46, "Big", AE178&lt;Dash!$H$49, "Small", AE178&gt;Dash!$H$47, "Good"), "Norm")</f>
        <v>Norm</v>
      </c>
      <c r="AG178">
        <v>15.75</v>
      </c>
      <c r="AH178" t="str">
        <f>_xlfn.IFNA(_xlfn.IFS(AG178&gt;Dash!$I$46, "Big", AG178&lt;Dash!$I$49, "Small", AG178&gt;Dash!$I$47, "Good"), "Norm")</f>
        <v>Small</v>
      </c>
    </row>
    <row r="179" spans="1:34" x14ac:dyDescent="0.25">
      <c r="A179" s="1">
        <v>45427</v>
      </c>
      <c r="B179" t="s">
        <v>18</v>
      </c>
      <c r="C179" t="s">
        <v>20</v>
      </c>
      <c r="D179" t="s">
        <v>28</v>
      </c>
      <c r="E179">
        <v>313.5</v>
      </c>
      <c r="F179">
        <v>2200</v>
      </c>
      <c r="G179">
        <v>2200</v>
      </c>
      <c r="J179" t="s">
        <v>29</v>
      </c>
      <c r="K179" t="s">
        <v>39</v>
      </c>
      <c r="L179" t="s">
        <v>32</v>
      </c>
      <c r="M179" t="s">
        <v>19</v>
      </c>
      <c r="N179">
        <v>10</v>
      </c>
      <c r="R179" t="s">
        <v>33</v>
      </c>
      <c r="S179" t="s">
        <v>43</v>
      </c>
      <c r="T179">
        <v>117</v>
      </c>
      <c r="U179" t="str">
        <f>_xlfn.IFNA(_xlfn.IFS(E179&gt;Dash!$D$46, "Big", E179&lt;Dash!$D$49, "Small", E179&gt;Dash!$D$47, "Good"), "Norm")</f>
        <v>Good</v>
      </c>
      <c r="V179" t="s">
        <v>33</v>
      </c>
      <c r="W179">
        <v>267.5</v>
      </c>
      <c r="X179" t="s">
        <v>53</v>
      </c>
      <c r="Y179">
        <v>38.5</v>
      </c>
      <c r="Z179" t="str">
        <f>_xlfn.IFNA(_xlfn.IFS(Y179&gt;Dash!$E$46, "Big", Y179&lt;Dash!$E$49, "Small", Y179&gt;Dash!$E$47, "Good"), "Norm")</f>
        <v>Small</v>
      </c>
      <c r="AA179">
        <v>28.25</v>
      </c>
      <c r="AB179" t="str">
        <f>_xlfn.IFNA(_xlfn.IFS(AA179&gt;Dash!$F$46, "Big", AA179&lt;Dash!$F$49, "Small", AA179&gt;Dash!$F$47, "Good"), "Norm")</f>
        <v>Small</v>
      </c>
      <c r="AC179">
        <v>211.5</v>
      </c>
      <c r="AD179" t="str">
        <f>_xlfn.IFNA(_xlfn.IFS(AC179&gt;Dash!$G$46, "Big", AC179&lt;Dash!$G$49, "Small", AC179&gt;Dash!$G$47, "Good"), "Norm")</f>
        <v>Good</v>
      </c>
      <c r="AE179">
        <v>129.75</v>
      </c>
      <c r="AF179" t="str">
        <f>_xlfn.IFNA(_xlfn.IFS(AE179&gt;Dash!$H$46, "Big", AE179&lt;Dash!$H$49, "Small", AE179&gt;Dash!$H$47, "Good"), "Norm")</f>
        <v>Norm</v>
      </c>
      <c r="AG179">
        <v>30</v>
      </c>
      <c r="AH179" t="str">
        <f>_xlfn.IFNA(_xlfn.IFS(AG179&gt;Dash!$I$46, "Big", AG179&lt;Dash!$I$49, "Small", AG179&gt;Dash!$I$47, "Good"), "Norm")</f>
        <v>Norm</v>
      </c>
    </row>
    <row r="180" spans="1:34" x14ac:dyDescent="0.25">
      <c r="A180" s="1">
        <v>45428</v>
      </c>
      <c r="B180" t="s">
        <v>36</v>
      </c>
      <c r="C180" t="s">
        <v>33</v>
      </c>
      <c r="D180" t="s">
        <v>43</v>
      </c>
      <c r="E180">
        <v>117</v>
      </c>
      <c r="F180">
        <v>1800</v>
      </c>
      <c r="G180">
        <v>1800</v>
      </c>
      <c r="J180" t="s">
        <v>29</v>
      </c>
      <c r="K180" t="s">
        <v>35</v>
      </c>
      <c r="L180" t="s">
        <v>42</v>
      </c>
      <c r="M180" t="s">
        <v>19</v>
      </c>
      <c r="N180">
        <v>10</v>
      </c>
      <c r="R180" t="s">
        <v>33</v>
      </c>
      <c r="S180" t="s">
        <v>14</v>
      </c>
      <c r="T180">
        <v>141.75</v>
      </c>
      <c r="U180" t="str">
        <f>_xlfn.IFNA(_xlfn.IFS(E180&gt;Dash!$D$46, "Big", E180&lt;Dash!$D$49, "Small", E180&gt;Dash!$D$47, "Good"), "Norm")</f>
        <v>Small</v>
      </c>
      <c r="V180" t="s">
        <v>20</v>
      </c>
      <c r="W180">
        <v>313.5</v>
      </c>
      <c r="X180" t="s">
        <v>28</v>
      </c>
      <c r="Y180">
        <v>51.25</v>
      </c>
      <c r="Z180" t="str">
        <f>_xlfn.IFNA(_xlfn.IFS(Y180&gt;Dash!$E$46, "Big", Y180&lt;Dash!$E$49, "Small", Y180&gt;Dash!$E$47, "Good"), "Norm")</f>
        <v>Norm</v>
      </c>
      <c r="AA180">
        <v>25.75</v>
      </c>
      <c r="AB180" t="str">
        <f>_xlfn.IFNA(_xlfn.IFS(AA180&gt;Dash!$F$46, "Big", AA180&lt;Dash!$F$49, "Small", AA180&gt;Dash!$F$47, "Good"), "Norm")</f>
        <v>Small</v>
      </c>
      <c r="AC180">
        <v>88.75</v>
      </c>
      <c r="AD180" t="str">
        <f>_xlfn.IFNA(_xlfn.IFS(AC180&gt;Dash!$G$46, "Big", AC180&lt;Dash!$G$49, "Small", AC180&gt;Dash!$G$47, "Good"), "Norm")</f>
        <v>Small</v>
      </c>
      <c r="AE180">
        <v>97.25</v>
      </c>
      <c r="AF180" t="str">
        <f>_xlfn.IFNA(_xlfn.IFS(AE180&gt;Dash!$H$46, "Big", AE180&lt;Dash!$H$49, "Small", AE180&gt;Dash!$H$47, "Good"), "Norm")</f>
        <v>Norm</v>
      </c>
      <c r="AG180">
        <v>22.25</v>
      </c>
      <c r="AH180" t="str">
        <f>_xlfn.IFNA(_xlfn.IFS(AG180&gt;Dash!$I$46, "Big", AG180&lt;Dash!$I$49, "Small", AG180&gt;Dash!$I$47, "Good"), "Norm")</f>
        <v>Norm</v>
      </c>
    </row>
    <row r="181" spans="1:34" x14ac:dyDescent="0.25">
      <c r="A181" s="1">
        <v>45429</v>
      </c>
      <c r="B181" t="s">
        <v>26</v>
      </c>
      <c r="C181" t="s">
        <v>33</v>
      </c>
      <c r="D181" t="s">
        <v>14</v>
      </c>
      <c r="E181">
        <v>141.75</v>
      </c>
      <c r="F181">
        <v>400</v>
      </c>
      <c r="G181">
        <v>400</v>
      </c>
      <c r="J181" t="s">
        <v>15</v>
      </c>
      <c r="K181" t="s">
        <v>35</v>
      </c>
      <c r="L181" t="s">
        <v>17</v>
      </c>
      <c r="M181" t="s">
        <v>19</v>
      </c>
      <c r="N181">
        <v>10</v>
      </c>
      <c r="O181" t="s">
        <v>61</v>
      </c>
      <c r="R181" t="s">
        <v>33</v>
      </c>
      <c r="S181" t="s">
        <v>28</v>
      </c>
      <c r="T181">
        <v>159.25</v>
      </c>
      <c r="U181" t="str">
        <f>_xlfn.IFNA(_xlfn.IFS(E181&gt;Dash!$D$46, "Big", E181&lt;Dash!$D$49, "Small", E181&gt;Dash!$D$47, "Good"), "Norm")</f>
        <v>Small</v>
      </c>
      <c r="V181" t="s">
        <v>33</v>
      </c>
      <c r="W181">
        <v>117</v>
      </c>
      <c r="X181" t="s">
        <v>43</v>
      </c>
      <c r="Y181">
        <v>28.5</v>
      </c>
      <c r="Z181" t="str">
        <f>_xlfn.IFNA(_xlfn.IFS(Y181&gt;Dash!$E$46, "Big", Y181&lt;Dash!$E$49, "Small", Y181&gt;Dash!$E$47, "Good"), "Norm")</f>
        <v>Small</v>
      </c>
      <c r="AA181">
        <v>60.25</v>
      </c>
      <c r="AB181" t="str">
        <f>_xlfn.IFNA(_xlfn.IFS(AA181&gt;Dash!$F$46, "Big", AA181&lt;Dash!$F$49, "Small", AA181&gt;Dash!$F$47, "Good"), "Norm")</f>
        <v>Norm</v>
      </c>
      <c r="AC181">
        <v>66.25</v>
      </c>
      <c r="AD181" t="str">
        <f>_xlfn.IFNA(_xlfn.IFS(AC181&gt;Dash!$G$46, "Big", AC181&lt;Dash!$G$49, "Small", AC181&gt;Dash!$G$47, "Good"), "Norm")</f>
        <v>Small</v>
      </c>
      <c r="AE181">
        <v>116</v>
      </c>
      <c r="AF181" t="str">
        <f>_xlfn.IFNA(_xlfn.IFS(AE181&gt;Dash!$H$46, "Big", AE181&lt;Dash!$H$49, "Small", AE181&gt;Dash!$H$47, "Good"), "Norm")</f>
        <v>Norm</v>
      </c>
      <c r="AG181">
        <v>19</v>
      </c>
      <c r="AH181" t="str">
        <f>_xlfn.IFNA(_xlfn.IFS(AG181&gt;Dash!$I$46, "Big", AG181&lt;Dash!$I$49, "Small", AG181&gt;Dash!$I$47, "Good"), "Norm")</f>
        <v>Small</v>
      </c>
    </row>
    <row r="182" spans="1:34" x14ac:dyDescent="0.25">
      <c r="A182" s="1">
        <v>45432</v>
      </c>
      <c r="B182" t="s">
        <v>23</v>
      </c>
      <c r="C182" t="s">
        <v>33</v>
      </c>
      <c r="D182" t="s">
        <v>28</v>
      </c>
      <c r="E182">
        <v>159.25</v>
      </c>
      <c r="F182">
        <v>700</v>
      </c>
      <c r="G182">
        <v>700</v>
      </c>
      <c r="J182" t="s">
        <v>30</v>
      </c>
      <c r="K182" t="s">
        <v>25</v>
      </c>
      <c r="L182" t="s">
        <v>32</v>
      </c>
      <c r="M182" t="s">
        <v>18</v>
      </c>
      <c r="N182">
        <v>5</v>
      </c>
      <c r="R182" t="s">
        <v>33</v>
      </c>
      <c r="S182" t="s">
        <v>28</v>
      </c>
      <c r="T182">
        <v>130.75</v>
      </c>
      <c r="U182" t="str">
        <f>_xlfn.IFNA(_xlfn.IFS(E182&gt;Dash!$D$46, "Big", E182&lt;Dash!$D$49, "Small", E182&gt;Dash!$D$47, "Good"), "Norm")</f>
        <v>Norm</v>
      </c>
      <c r="V182" t="s">
        <v>33</v>
      </c>
      <c r="W182">
        <v>141.75</v>
      </c>
      <c r="X182" t="s">
        <v>14</v>
      </c>
      <c r="Y182">
        <v>46.25</v>
      </c>
      <c r="Z182" t="str">
        <f>_xlfn.IFNA(_xlfn.IFS(Y182&gt;Dash!$E$46, "Big", Y182&lt;Dash!$E$49, "Small", Y182&gt;Dash!$E$47, "Good"), "Norm")</f>
        <v>Norm</v>
      </c>
      <c r="AA182">
        <v>35.75</v>
      </c>
      <c r="AB182" t="str">
        <f>_xlfn.IFNA(_xlfn.IFS(AA182&gt;Dash!$F$46, "Big", AA182&lt;Dash!$F$49, "Small", AA182&gt;Dash!$F$47, "Good"), "Norm")</f>
        <v>Small</v>
      </c>
      <c r="AC182">
        <v>136.75</v>
      </c>
      <c r="AD182" t="str">
        <f>_xlfn.IFNA(_xlfn.IFS(AC182&gt;Dash!$G$46, "Big", AC182&lt;Dash!$G$49, "Small", AC182&gt;Dash!$G$47, "Good"), "Norm")</f>
        <v>Norm</v>
      </c>
      <c r="AE182">
        <v>87.5</v>
      </c>
      <c r="AF182" t="str">
        <f>_xlfn.IFNA(_xlfn.IFS(AE182&gt;Dash!$H$46, "Big", AE182&lt;Dash!$H$49, "Small", AE182&gt;Dash!$H$47, "Good"), "Norm")</f>
        <v>Small</v>
      </c>
      <c r="AG182">
        <v>36.5</v>
      </c>
      <c r="AH182" t="str">
        <f>_xlfn.IFNA(_xlfn.IFS(AG182&gt;Dash!$I$46, "Big", AG182&lt;Dash!$I$49, "Small", AG182&gt;Dash!$I$47, "Good"), "Norm")</f>
        <v>Norm</v>
      </c>
    </row>
    <row r="183" spans="1:34" x14ac:dyDescent="0.25">
      <c r="A183" s="1">
        <v>45433</v>
      </c>
      <c r="B183" t="s">
        <v>19</v>
      </c>
      <c r="C183" t="s">
        <v>33</v>
      </c>
      <c r="D183" t="s">
        <v>28</v>
      </c>
      <c r="E183">
        <v>130.75</v>
      </c>
      <c r="F183">
        <v>1500</v>
      </c>
      <c r="J183" t="s">
        <v>49</v>
      </c>
      <c r="K183" t="s">
        <v>25</v>
      </c>
      <c r="L183" t="s">
        <v>32</v>
      </c>
      <c r="M183" t="s">
        <v>18</v>
      </c>
      <c r="N183">
        <v>5</v>
      </c>
      <c r="R183" t="s">
        <v>33</v>
      </c>
      <c r="S183" t="s">
        <v>28</v>
      </c>
      <c r="T183">
        <v>154.5</v>
      </c>
      <c r="U183" t="str">
        <f>_xlfn.IFNA(_xlfn.IFS(E183&gt;Dash!$D$46, "Big", E183&lt;Dash!$D$49, "Small", E183&gt;Dash!$D$47, "Good"), "Norm")</f>
        <v>Small</v>
      </c>
      <c r="V183" t="s">
        <v>33</v>
      </c>
      <c r="W183">
        <v>159.25</v>
      </c>
      <c r="X183" t="s">
        <v>28</v>
      </c>
      <c r="Y183">
        <v>18.5</v>
      </c>
      <c r="Z183" t="str">
        <f>_xlfn.IFNA(_xlfn.IFS(Y183&gt;Dash!$E$46, "Big", Y183&lt;Dash!$E$49, "Small", Y183&gt;Dash!$E$47, "Good"), "Norm")</f>
        <v>Small</v>
      </c>
      <c r="AA183">
        <v>34.25</v>
      </c>
      <c r="AB183" t="str">
        <f>_xlfn.IFNA(_xlfn.IFS(AA183&gt;Dash!$F$46, "Big", AA183&lt;Dash!$F$49, "Small", AA183&gt;Dash!$F$47, "Good"), "Norm")</f>
        <v>Small</v>
      </c>
      <c r="AC183">
        <v>85.5</v>
      </c>
      <c r="AD183" t="str">
        <f>_xlfn.IFNA(_xlfn.IFS(AC183&gt;Dash!$G$46, "Big", AC183&lt;Dash!$G$49, "Small", AC183&gt;Dash!$G$47, "Good"), "Norm")</f>
        <v>Small</v>
      </c>
      <c r="AE183">
        <v>74.75</v>
      </c>
      <c r="AF183" t="str">
        <f>_xlfn.IFNA(_xlfn.IFS(AE183&gt;Dash!$H$46, "Big", AE183&lt;Dash!$H$49, "Small", AE183&gt;Dash!$H$47, "Good"), "Norm")</f>
        <v>Small</v>
      </c>
      <c r="AG183">
        <v>14</v>
      </c>
      <c r="AH183" t="str">
        <f>_xlfn.IFNA(_xlfn.IFS(AG183&gt;Dash!$I$46, "Big", AG183&lt;Dash!$I$49, "Small", AG183&gt;Dash!$I$47, "Good"), "Norm")</f>
        <v>Small</v>
      </c>
    </row>
    <row r="184" spans="1:34" x14ac:dyDescent="0.25">
      <c r="A184" s="1">
        <v>45434</v>
      </c>
      <c r="B184" t="s">
        <v>18</v>
      </c>
      <c r="C184" t="s">
        <v>33</v>
      </c>
      <c r="D184" t="s">
        <v>28</v>
      </c>
      <c r="E184">
        <v>154.5</v>
      </c>
      <c r="F184">
        <v>1800</v>
      </c>
      <c r="G184">
        <v>200</v>
      </c>
      <c r="J184" t="s">
        <v>29</v>
      </c>
      <c r="K184" t="s">
        <v>17</v>
      </c>
      <c r="L184" t="s">
        <v>44</v>
      </c>
      <c r="M184" t="s">
        <v>18</v>
      </c>
      <c r="N184">
        <v>5</v>
      </c>
      <c r="O184" t="s">
        <v>66</v>
      </c>
      <c r="R184" t="s">
        <v>33</v>
      </c>
      <c r="S184" t="s">
        <v>48</v>
      </c>
      <c r="T184">
        <v>401.75</v>
      </c>
      <c r="U184" t="str">
        <f>_xlfn.IFNA(_xlfn.IFS(E184&gt;Dash!$D$46, "Big", E184&lt;Dash!$D$49, "Small", E184&gt;Dash!$D$47, "Good"), "Norm")</f>
        <v>Small</v>
      </c>
      <c r="V184" t="s">
        <v>33</v>
      </c>
      <c r="W184">
        <v>130.75</v>
      </c>
      <c r="X184" t="s">
        <v>28</v>
      </c>
      <c r="Y184">
        <v>28.5</v>
      </c>
      <c r="Z184" t="str">
        <f>_xlfn.IFNA(_xlfn.IFS(Y184&gt;Dash!$E$46, "Big", Y184&lt;Dash!$E$49, "Small", Y184&gt;Dash!$E$47, "Good"), "Norm")</f>
        <v>Small</v>
      </c>
      <c r="AA184">
        <v>65.75</v>
      </c>
      <c r="AB184" t="str">
        <f>_xlfn.IFNA(_xlfn.IFS(AA184&gt;Dash!$F$46, "Big", AA184&lt;Dash!$F$49, "Small", AA184&gt;Dash!$F$47, "Good"), "Norm")</f>
        <v>Norm</v>
      </c>
      <c r="AC184">
        <v>52.5</v>
      </c>
      <c r="AD184" t="str">
        <f>_xlfn.IFNA(_xlfn.IFS(AC184&gt;Dash!$G$46, "Big", AC184&lt;Dash!$G$49, "Small", AC184&gt;Dash!$G$47, "Good"), "Norm")</f>
        <v>Small</v>
      </c>
      <c r="AE184">
        <v>148.25</v>
      </c>
      <c r="AF184" t="str">
        <f>_xlfn.IFNA(_xlfn.IFS(AE184&gt;Dash!$H$46, "Big", AE184&lt;Dash!$H$49, "Small", AE184&gt;Dash!$H$47, "Good"), "Norm")</f>
        <v>Norm</v>
      </c>
      <c r="AG184">
        <v>199.75</v>
      </c>
      <c r="AH184" t="str">
        <f>_xlfn.IFNA(_xlfn.IFS(AG184&gt;Dash!$I$46, "Big", AG184&lt;Dash!$I$49, "Small", AG184&gt;Dash!$I$47, "Good"), "Norm")</f>
        <v>Big</v>
      </c>
    </row>
    <row r="185" spans="1:34" x14ac:dyDescent="0.25">
      <c r="A185" s="1">
        <v>45435</v>
      </c>
      <c r="B185" t="s">
        <v>36</v>
      </c>
      <c r="C185" t="s">
        <v>33</v>
      </c>
      <c r="D185" t="s">
        <v>48</v>
      </c>
      <c r="E185">
        <v>401.75</v>
      </c>
      <c r="F185">
        <v>2100</v>
      </c>
      <c r="G185">
        <v>900</v>
      </c>
      <c r="H185">
        <v>1400</v>
      </c>
      <c r="I185">
        <v>1500</v>
      </c>
      <c r="J185" t="s">
        <v>29</v>
      </c>
      <c r="K185" t="s">
        <v>35</v>
      </c>
      <c r="L185" t="s">
        <v>17</v>
      </c>
      <c r="M185" t="s">
        <v>18</v>
      </c>
      <c r="N185">
        <v>5</v>
      </c>
      <c r="R185" t="s">
        <v>13</v>
      </c>
      <c r="S185">
        <v>1</v>
      </c>
      <c r="T185">
        <v>202.5</v>
      </c>
      <c r="U185" t="str">
        <f>_xlfn.IFNA(_xlfn.IFS(E185&gt;Dash!$D$46, "Big", E185&lt;Dash!$D$49, "Small", E185&gt;Dash!$D$47, "Good"), "Norm")</f>
        <v>Good</v>
      </c>
      <c r="V185" t="s">
        <v>33</v>
      </c>
      <c r="W185">
        <v>154.5</v>
      </c>
      <c r="X185" t="s">
        <v>28</v>
      </c>
      <c r="Y185">
        <v>127.25</v>
      </c>
      <c r="Z185" t="str">
        <f>_xlfn.IFNA(_xlfn.IFS(Y185&gt;Dash!$E$46, "Big", Y185&lt;Dash!$E$49, "Small", Y185&gt;Dash!$E$47, "Good"), "Norm")</f>
        <v>Good</v>
      </c>
      <c r="AA185">
        <v>62.75</v>
      </c>
      <c r="AB185" t="str">
        <f>_xlfn.IFNA(_xlfn.IFS(AA185&gt;Dash!$F$46, "Big", AA185&lt;Dash!$F$49, "Small", AA185&gt;Dash!$F$47, "Good"), "Norm")</f>
        <v>Norm</v>
      </c>
      <c r="AC185">
        <v>221.25</v>
      </c>
      <c r="AD185" t="str">
        <f>_xlfn.IFNA(_xlfn.IFS(AC185&gt;Dash!$G$46, "Big", AC185&lt;Dash!$G$49, "Small", AC185&gt;Dash!$G$47, "Good"), "Norm")</f>
        <v>Good</v>
      </c>
      <c r="AE185">
        <v>312</v>
      </c>
      <c r="AF185" t="str">
        <f>_xlfn.IFNA(_xlfn.IFS(AE185&gt;Dash!$H$46, "Big", AE185&lt;Dash!$H$49, "Small", AE185&gt;Dash!$H$47, "Good"), "Norm")</f>
        <v>Big</v>
      </c>
      <c r="AG185">
        <v>24.75</v>
      </c>
      <c r="AH185" t="str">
        <f>_xlfn.IFNA(_xlfn.IFS(AG185&gt;Dash!$I$46, "Big", AG185&lt;Dash!$I$49, "Small", AG185&gt;Dash!$I$47, "Good"), "Norm")</f>
        <v>Norm</v>
      </c>
    </row>
    <row r="186" spans="1:34" x14ac:dyDescent="0.25">
      <c r="A186" s="1">
        <v>45436</v>
      </c>
      <c r="B186" t="s">
        <v>26</v>
      </c>
      <c r="C186" t="s">
        <v>13</v>
      </c>
      <c r="D186">
        <v>1</v>
      </c>
      <c r="E186">
        <v>202.5</v>
      </c>
      <c r="J186" t="s">
        <v>34</v>
      </c>
      <c r="K186" t="s">
        <v>31</v>
      </c>
      <c r="L186" t="s">
        <v>32</v>
      </c>
      <c r="M186" t="s">
        <v>18</v>
      </c>
      <c r="N186">
        <v>5</v>
      </c>
      <c r="R186" t="s">
        <v>20</v>
      </c>
      <c r="S186" t="s">
        <v>53</v>
      </c>
      <c r="T186">
        <v>126</v>
      </c>
      <c r="U186" t="str">
        <f>_xlfn.IFNA(_xlfn.IFS(E186&gt;Dash!$D$46, "Big", E186&lt;Dash!$D$49, "Small", E186&gt;Dash!$D$47, "Good"), "Norm")</f>
        <v>Norm</v>
      </c>
      <c r="V186" t="s">
        <v>33</v>
      </c>
      <c r="W186">
        <v>401.75</v>
      </c>
      <c r="X186" t="s">
        <v>48</v>
      </c>
      <c r="Y186">
        <v>51.25</v>
      </c>
      <c r="Z186" t="str">
        <f>_xlfn.IFNA(_xlfn.IFS(Y186&gt;Dash!$E$46, "Big", Y186&lt;Dash!$E$49, "Small", Y186&gt;Dash!$E$47, "Good"), "Norm")</f>
        <v>Norm</v>
      </c>
      <c r="AA186">
        <v>79.25</v>
      </c>
      <c r="AB186" t="str">
        <f>_xlfn.IFNA(_xlfn.IFS(AA186&gt;Dash!$F$46, "Big", AA186&lt;Dash!$F$49, "Small", AA186&gt;Dash!$F$47, "Good"), "Norm")</f>
        <v>Norm</v>
      </c>
      <c r="AC186">
        <v>195.5</v>
      </c>
      <c r="AD186" t="str">
        <f>_xlfn.IFNA(_xlfn.IFS(AC186&gt;Dash!$G$46, "Big", AC186&lt;Dash!$G$49, "Small", AC186&gt;Dash!$G$47, "Good"), "Norm")</f>
        <v>Norm</v>
      </c>
      <c r="AE186">
        <v>90.5</v>
      </c>
      <c r="AF186" t="str">
        <f>_xlfn.IFNA(_xlfn.IFS(AE186&gt;Dash!$H$46, "Big", AE186&lt;Dash!$H$49, "Small", AE186&gt;Dash!$H$47, "Good"), "Norm")</f>
        <v>Small</v>
      </c>
      <c r="AG186">
        <v>14.75</v>
      </c>
      <c r="AH186" t="str">
        <f>_xlfn.IFNA(_xlfn.IFS(AG186&gt;Dash!$I$46, "Big", AG186&lt;Dash!$I$49, "Small", AG186&gt;Dash!$I$47, "Good"), "Norm")</f>
        <v>Small</v>
      </c>
    </row>
    <row r="187" spans="1:34" x14ac:dyDescent="0.25">
      <c r="A187" s="1">
        <v>45440</v>
      </c>
      <c r="B187" t="s">
        <v>19</v>
      </c>
      <c r="C187" t="s">
        <v>20</v>
      </c>
      <c r="D187" t="s">
        <v>53</v>
      </c>
      <c r="E187">
        <v>126</v>
      </c>
      <c r="F187">
        <v>400</v>
      </c>
      <c r="G187">
        <v>600</v>
      </c>
      <c r="H187">
        <v>1400</v>
      </c>
      <c r="I187">
        <v>1500</v>
      </c>
      <c r="J187" t="s">
        <v>29</v>
      </c>
      <c r="K187" t="s">
        <v>22</v>
      </c>
      <c r="L187" t="s">
        <v>17</v>
      </c>
      <c r="M187" t="s">
        <v>19</v>
      </c>
      <c r="N187">
        <v>5</v>
      </c>
      <c r="R187" t="s">
        <v>13</v>
      </c>
      <c r="S187" t="s">
        <v>14</v>
      </c>
      <c r="T187">
        <v>124.5</v>
      </c>
      <c r="U187" t="str">
        <f>_xlfn.IFNA(_xlfn.IFS(E187&gt;Dash!$D$46, "Big", E187&lt;Dash!$D$49, "Small", E187&gt;Dash!$D$47, "Good"), "Norm")</f>
        <v>Small</v>
      </c>
      <c r="V187" t="s">
        <v>13</v>
      </c>
      <c r="W187">
        <v>202.5</v>
      </c>
      <c r="X187">
        <v>1</v>
      </c>
      <c r="Y187">
        <v>69.75</v>
      </c>
      <c r="Z187" t="str">
        <f>_xlfn.IFNA(_xlfn.IFS(Y187&gt;Dash!$E$46, "Big", Y187&lt;Dash!$E$49, "Small", Y187&gt;Dash!$E$47, "Good"), "Norm")</f>
        <v>Norm</v>
      </c>
      <c r="AA187">
        <v>71.25</v>
      </c>
      <c r="AB187" t="str">
        <f>_xlfn.IFNA(_xlfn.IFS(AA187&gt;Dash!$F$46, "Big", AA187&lt;Dash!$F$49, "Small", AA187&gt;Dash!$F$47, "Good"), "Norm")</f>
        <v>Norm</v>
      </c>
      <c r="AC187">
        <v>100.5</v>
      </c>
      <c r="AD187" t="str">
        <f>_xlfn.IFNA(_xlfn.IFS(AC187&gt;Dash!$G$46, "Big", AC187&lt;Dash!$G$49, "Small", AC187&gt;Dash!$G$47, "Good"), "Norm")</f>
        <v>Small</v>
      </c>
      <c r="AE187">
        <v>126</v>
      </c>
      <c r="AF187" t="str">
        <f>_xlfn.IFNA(_xlfn.IFS(AE187&gt;Dash!$H$46, "Big", AE187&lt;Dash!$H$49, "Small", AE187&gt;Dash!$H$47, "Good"), "Norm")</f>
        <v>Norm</v>
      </c>
      <c r="AG187">
        <v>24.75</v>
      </c>
      <c r="AH187" t="str">
        <f>_xlfn.IFNA(_xlfn.IFS(AG187&gt;Dash!$I$46, "Big", AG187&lt;Dash!$I$49, "Small", AG187&gt;Dash!$I$47, "Good"), "Norm")</f>
        <v>Norm</v>
      </c>
    </row>
    <row r="188" spans="1:34" x14ac:dyDescent="0.25">
      <c r="A188" s="1">
        <v>45441</v>
      </c>
      <c r="B188" t="s">
        <v>18</v>
      </c>
      <c r="C188" t="s">
        <v>13</v>
      </c>
      <c r="D188" t="s">
        <v>14</v>
      </c>
      <c r="E188">
        <v>124.5</v>
      </c>
      <c r="F188">
        <v>400</v>
      </c>
      <c r="G188">
        <v>900</v>
      </c>
      <c r="J188" t="s">
        <v>15</v>
      </c>
      <c r="K188" t="s">
        <v>16</v>
      </c>
      <c r="L188" t="s">
        <v>42</v>
      </c>
      <c r="M188" t="s">
        <v>19</v>
      </c>
      <c r="N188">
        <v>5</v>
      </c>
      <c r="R188" t="s">
        <v>33</v>
      </c>
      <c r="S188" t="s">
        <v>14</v>
      </c>
      <c r="T188">
        <v>240.75</v>
      </c>
      <c r="U188" t="str">
        <f>_xlfn.IFNA(_xlfn.IFS(E188&gt;Dash!$D$46, "Big", E188&lt;Dash!$D$49, "Small", E188&gt;Dash!$D$47, "Good"), "Norm")</f>
        <v>Small</v>
      </c>
      <c r="V188" t="s">
        <v>20</v>
      </c>
      <c r="W188">
        <v>126</v>
      </c>
      <c r="X188" t="s">
        <v>53</v>
      </c>
      <c r="Y188">
        <v>93</v>
      </c>
      <c r="Z188" t="str">
        <f>_xlfn.IFNA(_xlfn.IFS(Y188&gt;Dash!$E$46, "Big", Y188&lt;Dash!$E$49, "Small", Y188&gt;Dash!$E$47, "Good"), "Norm")</f>
        <v>Good</v>
      </c>
      <c r="AA188">
        <v>93.5</v>
      </c>
      <c r="AB188" t="str">
        <f>_xlfn.IFNA(_xlfn.IFS(AA188&gt;Dash!$F$46, "Big", AA188&lt;Dash!$F$49, "Small", AA188&gt;Dash!$F$47, "Good"), "Norm")</f>
        <v>Norm</v>
      </c>
      <c r="AC188">
        <v>124.5</v>
      </c>
      <c r="AD188" t="str">
        <f>_xlfn.IFNA(_xlfn.IFS(AC188&gt;Dash!$G$46, "Big", AC188&lt;Dash!$G$49, "Small", AC188&gt;Dash!$G$47, "Good"), "Norm")</f>
        <v>Norm</v>
      </c>
      <c r="AE188">
        <v>93</v>
      </c>
      <c r="AF188" t="str">
        <f>_xlfn.IFNA(_xlfn.IFS(AE188&gt;Dash!$H$46, "Big", AE188&lt;Dash!$H$49, "Small", AE188&gt;Dash!$H$47, "Good"), "Norm")</f>
        <v>Norm</v>
      </c>
      <c r="AG188">
        <v>75.75</v>
      </c>
      <c r="AH188" t="str">
        <f>_xlfn.IFNA(_xlfn.IFS(AG188&gt;Dash!$I$46, "Big", AG188&lt;Dash!$I$49, "Small", AG188&gt;Dash!$I$47, "Good"), "Norm")</f>
        <v>Good</v>
      </c>
    </row>
    <row r="189" spans="1:34" x14ac:dyDescent="0.25">
      <c r="A189" s="1">
        <v>45442</v>
      </c>
      <c r="B189" t="s">
        <v>36</v>
      </c>
      <c r="C189" t="s">
        <v>33</v>
      </c>
      <c r="D189" t="s">
        <v>14</v>
      </c>
      <c r="E189">
        <v>240.75</v>
      </c>
      <c r="F189">
        <v>1800</v>
      </c>
      <c r="G189">
        <v>600</v>
      </c>
      <c r="J189" t="s">
        <v>37</v>
      </c>
      <c r="K189" t="s">
        <v>35</v>
      </c>
      <c r="L189" t="s">
        <v>17</v>
      </c>
      <c r="M189" t="s">
        <v>19</v>
      </c>
      <c r="N189">
        <v>5</v>
      </c>
      <c r="R189" t="s">
        <v>33</v>
      </c>
      <c r="S189" t="s">
        <v>46</v>
      </c>
      <c r="T189">
        <v>427</v>
      </c>
      <c r="U189" t="str">
        <f>_xlfn.IFNA(_xlfn.IFS(E189&gt;Dash!$D$46, "Big", E189&lt;Dash!$D$49, "Small", E189&gt;Dash!$D$47, "Good"), "Norm")</f>
        <v>Norm</v>
      </c>
      <c r="V189" t="s">
        <v>13</v>
      </c>
      <c r="W189">
        <v>124.5</v>
      </c>
      <c r="X189" t="s">
        <v>14</v>
      </c>
      <c r="Y189">
        <v>105.5</v>
      </c>
      <c r="Z189" t="str">
        <f>_xlfn.IFNA(_xlfn.IFS(Y189&gt;Dash!$E$46, "Big", Y189&lt;Dash!$E$49, "Small", Y189&gt;Dash!$E$47, "Good"), "Norm")</f>
        <v>Good</v>
      </c>
      <c r="AA189">
        <v>103.5</v>
      </c>
      <c r="AB189" t="str">
        <f>_xlfn.IFNA(_xlfn.IFS(AA189&gt;Dash!$F$46, "Big", AA189&lt;Dash!$F$49, "Small", AA189&gt;Dash!$F$47, "Good"), "Norm")</f>
        <v>Good</v>
      </c>
      <c r="AC189">
        <v>163.25</v>
      </c>
      <c r="AD189" t="str">
        <f>_xlfn.IFNA(_xlfn.IFS(AC189&gt;Dash!$G$46, "Big", AC189&lt;Dash!$G$49, "Small", AC189&gt;Dash!$G$47, "Good"), "Norm")</f>
        <v>Norm</v>
      </c>
      <c r="AE189">
        <v>182.75</v>
      </c>
      <c r="AF189" t="str">
        <f>_xlfn.IFNA(_xlfn.IFS(AE189&gt;Dash!$H$46, "Big", AE189&lt;Dash!$H$49, "Small", AE189&gt;Dash!$H$47, "Good"), "Norm")</f>
        <v>Good</v>
      </c>
      <c r="AG189">
        <v>55.5</v>
      </c>
      <c r="AH189" t="str">
        <f>_xlfn.IFNA(_xlfn.IFS(AG189&gt;Dash!$I$46, "Big", AG189&lt;Dash!$I$49, "Small", AG189&gt;Dash!$I$47, "Good"), "Norm")</f>
        <v>Good</v>
      </c>
    </row>
    <row r="190" spans="1:34" x14ac:dyDescent="0.25">
      <c r="A190" s="1">
        <v>45443</v>
      </c>
      <c r="B190" t="s">
        <v>26</v>
      </c>
      <c r="C190" t="s">
        <v>33</v>
      </c>
      <c r="D190" t="s">
        <v>46</v>
      </c>
      <c r="E190">
        <v>427</v>
      </c>
      <c r="F190">
        <v>2000</v>
      </c>
      <c r="G190">
        <v>2100</v>
      </c>
      <c r="J190" t="s">
        <v>37</v>
      </c>
      <c r="K190" t="s">
        <v>35</v>
      </c>
      <c r="L190" t="s">
        <v>17</v>
      </c>
      <c r="M190" t="s">
        <v>19</v>
      </c>
      <c r="N190">
        <v>5</v>
      </c>
      <c r="R190" t="s">
        <v>33</v>
      </c>
      <c r="S190" t="s">
        <v>28</v>
      </c>
      <c r="T190">
        <v>319.75</v>
      </c>
      <c r="U190" t="str">
        <f>_xlfn.IFNA(_xlfn.IFS(E190&gt;Dash!$D$46, "Big", E190&lt;Dash!$D$49, "Small", E190&gt;Dash!$D$47, "Good"), "Norm")</f>
        <v>Big</v>
      </c>
      <c r="V190" t="s">
        <v>33</v>
      </c>
      <c r="W190">
        <v>240.75</v>
      </c>
      <c r="X190" t="s">
        <v>14</v>
      </c>
      <c r="Y190">
        <v>90</v>
      </c>
      <c r="Z190" t="str">
        <f>_xlfn.IFNA(_xlfn.IFS(Y190&gt;Dash!$E$46, "Big", Y190&lt;Dash!$E$49, "Small", Y190&gt;Dash!$E$47, "Good"), "Norm")</f>
        <v>Good</v>
      </c>
      <c r="AA190">
        <v>87.75</v>
      </c>
      <c r="AB190" t="str">
        <f>_xlfn.IFNA(_xlfn.IFS(AA190&gt;Dash!$F$46, "Big", AA190&lt;Dash!$F$49, "Small", AA190&gt;Dash!$F$47, "Good"), "Norm")</f>
        <v>Norm</v>
      </c>
      <c r="AC190">
        <v>373.5</v>
      </c>
      <c r="AD190" t="str">
        <f>_xlfn.IFNA(_xlfn.IFS(AC190&gt;Dash!$G$46, "Big", AC190&lt;Dash!$G$49, "Small", AC190&gt;Dash!$G$47, "Good"), "Norm")</f>
        <v>Big</v>
      </c>
      <c r="AE190">
        <v>359.75</v>
      </c>
      <c r="AF190" t="str">
        <f>_xlfn.IFNA(_xlfn.IFS(AE190&gt;Dash!$H$46, "Big", AE190&lt;Dash!$H$49, "Small", AE190&gt;Dash!$H$47, "Good"), "Norm")</f>
        <v>Big</v>
      </c>
      <c r="AG190">
        <v>57</v>
      </c>
      <c r="AH190" t="str">
        <f>_xlfn.IFNA(_xlfn.IFS(AG190&gt;Dash!$I$46, "Big", AG190&lt;Dash!$I$49, "Small", AG190&gt;Dash!$I$47, "Good"), "Norm")</f>
        <v>Good</v>
      </c>
    </row>
    <row r="191" spans="1:34" x14ac:dyDescent="0.25">
      <c r="A191" s="1">
        <v>45446</v>
      </c>
      <c r="B191" t="s">
        <v>23</v>
      </c>
      <c r="C191" t="s">
        <v>33</v>
      </c>
      <c r="D191" t="s">
        <v>28</v>
      </c>
      <c r="E191">
        <v>319.75</v>
      </c>
      <c r="F191">
        <v>200</v>
      </c>
      <c r="G191">
        <v>200</v>
      </c>
      <c r="J191" t="s">
        <v>30</v>
      </c>
      <c r="K191" t="s">
        <v>35</v>
      </c>
      <c r="L191" t="s">
        <v>17</v>
      </c>
      <c r="M191" t="s">
        <v>23</v>
      </c>
      <c r="N191">
        <v>9</v>
      </c>
      <c r="R191" t="s">
        <v>20</v>
      </c>
      <c r="S191">
        <v>1</v>
      </c>
      <c r="T191">
        <v>191</v>
      </c>
      <c r="U191" t="str">
        <f>_xlfn.IFNA(_xlfn.IFS(E191&gt;Dash!$D$46, "Big", E191&lt;Dash!$D$49, "Small", E191&gt;Dash!$D$47, "Good"), "Norm")</f>
        <v>Good</v>
      </c>
      <c r="V191" t="s">
        <v>33</v>
      </c>
      <c r="W191">
        <v>427</v>
      </c>
      <c r="X191" t="s">
        <v>46</v>
      </c>
      <c r="Y191">
        <v>117.75</v>
      </c>
      <c r="Z191" t="str">
        <f>_xlfn.IFNA(_xlfn.IFS(Y191&gt;Dash!$E$46, "Big", Y191&lt;Dash!$E$49, "Small", Y191&gt;Dash!$E$47, "Good"), "Norm")</f>
        <v>Good</v>
      </c>
      <c r="AA191">
        <v>68.75</v>
      </c>
      <c r="AB191" t="str">
        <f>_xlfn.IFNA(_xlfn.IFS(AA191&gt;Dash!$F$46, "Big", AA191&lt;Dash!$F$49, "Small", AA191&gt;Dash!$F$47, "Good"), "Norm")</f>
        <v>Norm</v>
      </c>
      <c r="AC191">
        <v>191.25</v>
      </c>
      <c r="AD191" t="str">
        <f>_xlfn.IFNA(_xlfn.IFS(AC191&gt;Dash!$G$46, "Big", AC191&lt;Dash!$G$49, "Small", AC191&gt;Dash!$G$47, "Good"), "Norm")</f>
        <v>Norm</v>
      </c>
      <c r="AE191">
        <v>219</v>
      </c>
      <c r="AF191" t="str">
        <f>_xlfn.IFNA(_xlfn.IFS(AE191&gt;Dash!$H$46, "Big", AE191&lt;Dash!$H$49, "Small", AE191&gt;Dash!$H$47, "Good"), "Norm")</f>
        <v>Good</v>
      </c>
      <c r="AG191">
        <v>29.25</v>
      </c>
      <c r="AH191" t="str">
        <f>_xlfn.IFNA(_xlfn.IFS(AG191&gt;Dash!$I$46, "Big", AG191&lt;Dash!$I$49, "Small", AG191&gt;Dash!$I$47, "Good"), "Norm")</f>
        <v>Norm</v>
      </c>
    </row>
    <row r="192" spans="1:34" x14ac:dyDescent="0.25">
      <c r="A192" s="1">
        <v>45447</v>
      </c>
      <c r="B192" t="s">
        <v>19</v>
      </c>
      <c r="C192" t="s">
        <v>20</v>
      </c>
      <c r="D192">
        <v>1</v>
      </c>
      <c r="E192">
        <v>191</v>
      </c>
      <c r="J192" t="s">
        <v>34</v>
      </c>
      <c r="K192" t="s">
        <v>39</v>
      </c>
      <c r="L192" t="s">
        <v>32</v>
      </c>
      <c r="M192" t="s">
        <v>23</v>
      </c>
      <c r="N192">
        <v>9</v>
      </c>
      <c r="R192" t="s">
        <v>13</v>
      </c>
      <c r="S192" t="s">
        <v>28</v>
      </c>
      <c r="T192">
        <v>301.5</v>
      </c>
      <c r="U192" t="str">
        <f>_xlfn.IFNA(_xlfn.IFS(E192&gt;Dash!$D$46, "Big", E192&lt;Dash!$D$49, "Small", E192&gt;Dash!$D$47, "Good"), "Norm")</f>
        <v>Norm</v>
      </c>
      <c r="V192" t="s">
        <v>33</v>
      </c>
      <c r="W192">
        <v>319.75</v>
      </c>
      <c r="X192" t="s">
        <v>28</v>
      </c>
      <c r="Y192">
        <v>40</v>
      </c>
      <c r="Z192" t="str">
        <f>_xlfn.IFNA(_xlfn.IFS(Y192&gt;Dash!$E$46, "Big", Y192&lt;Dash!$E$49, "Small", Y192&gt;Dash!$E$47, "Good"), "Norm")</f>
        <v>Small</v>
      </c>
      <c r="AA192">
        <v>136.5</v>
      </c>
      <c r="AB192" t="str">
        <f>_xlfn.IFNA(_xlfn.IFS(AA192&gt;Dash!$F$46, "Big", AA192&lt;Dash!$F$49, "Small", AA192&gt;Dash!$F$47, "Good"), "Norm")</f>
        <v>Good</v>
      </c>
      <c r="AC192">
        <v>101.75</v>
      </c>
      <c r="AD192" t="str">
        <f>_xlfn.IFNA(_xlfn.IFS(AC192&gt;Dash!$G$46, "Big", AC192&lt;Dash!$G$49, "Small", AC192&gt;Dash!$G$47, "Good"), "Norm")</f>
        <v>Small</v>
      </c>
      <c r="AE192">
        <v>182.5</v>
      </c>
      <c r="AF192" t="str">
        <f>_xlfn.IFNA(_xlfn.IFS(AE192&gt;Dash!$H$46, "Big", AE192&lt;Dash!$H$49, "Small", AE192&gt;Dash!$H$47, "Good"), "Norm")</f>
        <v>Good</v>
      </c>
      <c r="AG192">
        <v>29.5</v>
      </c>
      <c r="AH192" t="str">
        <f>_xlfn.IFNA(_xlfn.IFS(AG192&gt;Dash!$I$46, "Big", AG192&lt;Dash!$I$49, "Small", AG192&gt;Dash!$I$47, "Good"), "Norm")</f>
        <v>Norm</v>
      </c>
    </row>
    <row r="193" spans="1:34" x14ac:dyDescent="0.25">
      <c r="A193" s="1">
        <v>45448</v>
      </c>
      <c r="B193" t="s">
        <v>18</v>
      </c>
      <c r="C193" t="s">
        <v>13</v>
      </c>
      <c r="D193" t="s">
        <v>28</v>
      </c>
      <c r="E193">
        <v>301.5</v>
      </c>
      <c r="F193">
        <v>2200</v>
      </c>
      <c r="G193">
        <v>200</v>
      </c>
      <c r="J193" t="s">
        <v>29</v>
      </c>
      <c r="K193" t="s">
        <v>31</v>
      </c>
      <c r="L193" t="s">
        <v>44</v>
      </c>
      <c r="M193" t="s">
        <v>23</v>
      </c>
      <c r="N193">
        <v>9</v>
      </c>
      <c r="R193" t="s">
        <v>33</v>
      </c>
      <c r="S193" t="s">
        <v>43</v>
      </c>
      <c r="T193">
        <v>107.25</v>
      </c>
      <c r="U193" t="str">
        <f>_xlfn.IFNA(_xlfn.IFS(E193&gt;Dash!$D$46, "Big", E193&lt;Dash!$D$49, "Small", E193&gt;Dash!$D$47, "Good"), "Norm")</f>
        <v>Good</v>
      </c>
      <c r="V193" t="s">
        <v>20</v>
      </c>
      <c r="W193">
        <v>191</v>
      </c>
      <c r="X193">
        <v>1</v>
      </c>
      <c r="Y193">
        <v>69.75</v>
      </c>
      <c r="Z193" t="str">
        <f>_xlfn.IFNA(_xlfn.IFS(Y193&gt;Dash!$E$46, "Big", Y193&lt;Dash!$E$49, "Small", Y193&gt;Dash!$E$47, "Good"), "Norm")</f>
        <v>Norm</v>
      </c>
      <c r="AA193">
        <v>112</v>
      </c>
      <c r="AB193" t="str">
        <f>_xlfn.IFNA(_xlfn.IFS(AA193&gt;Dash!$F$46, "Big", AA193&lt;Dash!$F$49, "Small", AA193&gt;Dash!$F$47, "Good"), "Norm")</f>
        <v>Good</v>
      </c>
      <c r="AC193">
        <v>209</v>
      </c>
      <c r="AD193" t="str">
        <f>_xlfn.IFNA(_xlfn.IFS(AC193&gt;Dash!$G$46, "Big", AC193&lt;Dash!$G$49, "Small", AC193&gt;Dash!$G$47, "Good"), "Norm")</f>
        <v>Good</v>
      </c>
      <c r="AE193">
        <v>124.75</v>
      </c>
      <c r="AF193" t="str">
        <f>_xlfn.IFNA(_xlfn.IFS(AE193&gt;Dash!$H$46, "Big", AE193&lt;Dash!$H$49, "Small", AE193&gt;Dash!$H$47, "Good"), "Norm")</f>
        <v>Norm</v>
      </c>
      <c r="AG193">
        <v>39.75</v>
      </c>
      <c r="AH193" t="str">
        <f>_xlfn.IFNA(_xlfn.IFS(AG193&gt;Dash!$I$46, "Big", AG193&lt;Dash!$I$49, "Small", AG193&gt;Dash!$I$47, "Good"), "Norm")</f>
        <v>Good</v>
      </c>
    </row>
    <row r="194" spans="1:34" x14ac:dyDescent="0.25">
      <c r="A194" s="1">
        <v>45449</v>
      </c>
      <c r="B194" t="s">
        <v>36</v>
      </c>
      <c r="C194" t="s">
        <v>33</v>
      </c>
      <c r="D194" t="s">
        <v>43</v>
      </c>
      <c r="E194">
        <v>107.25</v>
      </c>
      <c r="F194">
        <v>1800</v>
      </c>
      <c r="G194">
        <v>2000</v>
      </c>
      <c r="J194" t="s">
        <v>29</v>
      </c>
      <c r="K194" t="s">
        <v>35</v>
      </c>
      <c r="L194" t="s">
        <v>17</v>
      </c>
      <c r="M194" t="s">
        <v>23</v>
      </c>
      <c r="N194">
        <v>9</v>
      </c>
      <c r="R194" t="s">
        <v>33</v>
      </c>
      <c r="S194" t="s">
        <v>48</v>
      </c>
      <c r="T194">
        <v>215</v>
      </c>
      <c r="U194" t="str">
        <f>_xlfn.IFNA(_xlfn.IFS(E194&gt;Dash!$D$46, "Big", E194&lt;Dash!$D$49, "Small", E194&gt;Dash!$D$47, "Good"), "Norm")</f>
        <v>Small</v>
      </c>
      <c r="V194" t="s">
        <v>13</v>
      </c>
      <c r="W194">
        <v>301.5</v>
      </c>
      <c r="X194" t="s">
        <v>28</v>
      </c>
      <c r="Y194">
        <v>43.5</v>
      </c>
      <c r="Z194" t="str">
        <f>_xlfn.IFNA(_xlfn.IFS(Y194&gt;Dash!$E$46, "Big", Y194&lt;Dash!$E$49, "Small", Y194&gt;Dash!$E$47, "Good"), "Norm")</f>
        <v>Norm</v>
      </c>
      <c r="AA194">
        <v>36.25</v>
      </c>
      <c r="AB194" t="str">
        <f>_xlfn.IFNA(_xlfn.IFS(AA194&gt;Dash!$F$46, "Big", AA194&lt;Dash!$F$49, "Small", AA194&gt;Dash!$F$47, "Good"), "Norm")</f>
        <v>Small</v>
      </c>
      <c r="AC194">
        <v>92.25</v>
      </c>
      <c r="AD194" t="str">
        <f>_xlfn.IFNA(_xlfn.IFS(AC194&gt;Dash!$G$46, "Big", AC194&lt;Dash!$G$49, "Small", AC194&gt;Dash!$G$47, "Good"), "Norm")</f>
        <v>Small</v>
      </c>
      <c r="AE194">
        <v>73.25</v>
      </c>
      <c r="AF194" t="str">
        <f>_xlfn.IFNA(_xlfn.IFS(AE194&gt;Dash!$H$46, "Big", AE194&lt;Dash!$H$49, "Small", AE194&gt;Dash!$H$47, "Good"), "Norm")</f>
        <v>Small</v>
      </c>
      <c r="AG194">
        <v>26.25</v>
      </c>
      <c r="AH194" t="str">
        <f>_xlfn.IFNA(_xlfn.IFS(AG194&gt;Dash!$I$46, "Big", AG194&lt;Dash!$I$49, "Small", AG194&gt;Dash!$I$47, "Good"), "Norm")</f>
        <v>Norm</v>
      </c>
    </row>
    <row r="195" spans="1:34" x14ac:dyDescent="0.25">
      <c r="A195" s="1">
        <v>45450</v>
      </c>
      <c r="B195" t="s">
        <v>26</v>
      </c>
      <c r="C195" t="s">
        <v>33</v>
      </c>
      <c r="D195" t="s">
        <v>48</v>
      </c>
      <c r="E195">
        <v>215</v>
      </c>
      <c r="F195">
        <v>800</v>
      </c>
      <c r="G195">
        <v>900</v>
      </c>
      <c r="H195">
        <v>1200</v>
      </c>
      <c r="I195">
        <v>1300</v>
      </c>
      <c r="J195" t="s">
        <v>27</v>
      </c>
      <c r="K195" t="s">
        <v>25</v>
      </c>
      <c r="L195" t="s">
        <v>32</v>
      </c>
      <c r="M195" t="s">
        <v>23</v>
      </c>
      <c r="N195">
        <v>9</v>
      </c>
      <c r="R195" t="s">
        <v>20</v>
      </c>
      <c r="S195">
        <v>1</v>
      </c>
      <c r="T195">
        <v>152</v>
      </c>
      <c r="U195" t="str">
        <f>_xlfn.IFNA(_xlfn.IFS(E195&gt;Dash!$D$46, "Big", E195&lt;Dash!$D$49, "Small", E195&gt;Dash!$D$47, "Good"), "Norm")</f>
        <v>Norm</v>
      </c>
      <c r="V195" t="s">
        <v>33</v>
      </c>
      <c r="W195">
        <v>107.25</v>
      </c>
      <c r="X195" t="s">
        <v>43</v>
      </c>
      <c r="Y195">
        <v>41.5</v>
      </c>
      <c r="Z195" t="str">
        <f>_xlfn.IFNA(_xlfn.IFS(Y195&gt;Dash!$E$46, "Big", Y195&lt;Dash!$E$49, "Small", Y195&gt;Dash!$E$47, "Good"), "Norm")</f>
        <v>Norm</v>
      </c>
      <c r="AA195">
        <v>50.25</v>
      </c>
      <c r="AB195" t="str">
        <f>_xlfn.IFNA(_xlfn.IFS(AA195&gt;Dash!$F$46, "Big", AA195&lt;Dash!$F$49, "Small", AA195&gt;Dash!$F$47, "Good"), "Norm")</f>
        <v>Small</v>
      </c>
      <c r="AC195">
        <v>206.75</v>
      </c>
      <c r="AD195" t="str">
        <f>_xlfn.IFNA(_xlfn.IFS(AC195&gt;Dash!$G$46, "Big", AC195&lt;Dash!$G$49, "Small", AC195&gt;Dash!$G$47, "Good"), "Norm")</f>
        <v>Good</v>
      </c>
      <c r="AE195">
        <v>158</v>
      </c>
      <c r="AF195" t="str">
        <f>_xlfn.IFNA(_xlfn.IFS(AE195&gt;Dash!$H$46, "Big", AE195&lt;Dash!$H$49, "Small", AE195&gt;Dash!$H$47, "Good"), "Norm")</f>
        <v>Good</v>
      </c>
      <c r="AG195">
        <v>28.75</v>
      </c>
      <c r="AH195" t="str">
        <f>_xlfn.IFNA(_xlfn.IFS(AG195&gt;Dash!$I$46, "Big", AG195&lt;Dash!$I$49, "Small", AG195&gt;Dash!$I$47, "Good"), "Norm")</f>
        <v>Norm</v>
      </c>
    </row>
    <row r="196" spans="1:34" x14ac:dyDescent="0.25">
      <c r="A196" s="1">
        <v>45453</v>
      </c>
      <c r="B196" t="s">
        <v>23</v>
      </c>
      <c r="C196" t="s">
        <v>20</v>
      </c>
      <c r="D196">
        <v>1</v>
      </c>
      <c r="E196">
        <v>152</v>
      </c>
      <c r="J196" t="s">
        <v>34</v>
      </c>
      <c r="K196" t="s">
        <v>39</v>
      </c>
      <c r="L196" t="s">
        <v>32</v>
      </c>
      <c r="M196" t="s">
        <v>18</v>
      </c>
      <c r="N196">
        <v>11</v>
      </c>
      <c r="R196" t="s">
        <v>33</v>
      </c>
      <c r="S196" t="s">
        <v>28</v>
      </c>
      <c r="T196">
        <v>253</v>
      </c>
      <c r="U196" t="str">
        <f>_xlfn.IFNA(_xlfn.IFS(E196&gt;Dash!$D$46, "Big", E196&lt;Dash!$D$49, "Small", E196&gt;Dash!$D$47, "Good"), "Norm")</f>
        <v>Small</v>
      </c>
      <c r="V196" t="s">
        <v>33</v>
      </c>
      <c r="W196">
        <v>215</v>
      </c>
      <c r="X196" t="s">
        <v>48</v>
      </c>
      <c r="Y196">
        <v>50.75</v>
      </c>
      <c r="Z196" t="str">
        <f>_xlfn.IFNA(_xlfn.IFS(Y196&gt;Dash!$E$46, "Big", Y196&lt;Dash!$E$49, "Small", Y196&gt;Dash!$E$47, "Good"), "Norm")</f>
        <v>Norm</v>
      </c>
      <c r="AA196">
        <v>69.75</v>
      </c>
      <c r="AB196" t="str">
        <f>_xlfn.IFNA(_xlfn.IFS(AA196&gt;Dash!$F$46, "Big", AA196&lt;Dash!$F$49, "Small", AA196&gt;Dash!$F$47, "Good"), "Norm")</f>
        <v>Norm</v>
      </c>
      <c r="AC196">
        <v>135.75</v>
      </c>
      <c r="AD196" t="str">
        <f>_xlfn.IFNA(_xlfn.IFS(AC196&gt;Dash!$G$46, "Big", AC196&lt;Dash!$G$49, "Small", AC196&gt;Dash!$G$47, "Good"), "Norm")</f>
        <v>Norm</v>
      </c>
      <c r="AE196">
        <v>95.75</v>
      </c>
      <c r="AF196" t="str">
        <f>_xlfn.IFNA(_xlfn.IFS(AE196&gt;Dash!$H$46, "Big", AE196&lt;Dash!$H$49, "Small", AE196&gt;Dash!$H$47, "Good"), "Norm")</f>
        <v>Norm</v>
      </c>
      <c r="AG196">
        <v>32</v>
      </c>
      <c r="AH196" t="str">
        <f>_xlfn.IFNA(_xlfn.IFS(AG196&gt;Dash!$I$46, "Big", AG196&lt;Dash!$I$49, "Small", AG196&gt;Dash!$I$47, "Good"), "Norm")</f>
        <v>Norm</v>
      </c>
    </row>
    <row r="197" spans="1:34" x14ac:dyDescent="0.25">
      <c r="A197" s="1">
        <v>45454</v>
      </c>
      <c r="B197" t="s">
        <v>19</v>
      </c>
      <c r="C197" t="s">
        <v>33</v>
      </c>
      <c r="D197" t="s">
        <v>28</v>
      </c>
      <c r="E197">
        <v>253</v>
      </c>
      <c r="F197">
        <v>900</v>
      </c>
      <c r="G197">
        <v>1000</v>
      </c>
      <c r="J197" t="s">
        <v>27</v>
      </c>
      <c r="K197" t="s">
        <v>25</v>
      </c>
      <c r="L197" t="s">
        <v>44</v>
      </c>
      <c r="M197" t="s">
        <v>18</v>
      </c>
      <c r="N197">
        <v>11</v>
      </c>
      <c r="R197" t="s">
        <v>13</v>
      </c>
      <c r="S197" t="s">
        <v>28</v>
      </c>
      <c r="T197">
        <v>326</v>
      </c>
      <c r="U197" t="str">
        <f>_xlfn.IFNA(_xlfn.IFS(E197&gt;Dash!$D$46, "Big", E197&lt;Dash!$D$49, "Small", E197&gt;Dash!$D$47, "Good"), "Norm")</f>
        <v>Good</v>
      </c>
      <c r="V197" t="s">
        <v>20</v>
      </c>
      <c r="W197">
        <v>152</v>
      </c>
      <c r="X197">
        <v>1</v>
      </c>
      <c r="Y197">
        <v>31.25</v>
      </c>
      <c r="Z197" t="str">
        <f>_xlfn.IFNA(_xlfn.IFS(Y197&gt;Dash!$E$46, "Big", Y197&lt;Dash!$E$49, "Small", Y197&gt;Dash!$E$47, "Good"), "Norm")</f>
        <v>Small</v>
      </c>
      <c r="AA197">
        <v>84</v>
      </c>
      <c r="AB197" t="str">
        <f>_xlfn.IFNA(_xlfn.IFS(AA197&gt;Dash!$F$46, "Big", AA197&lt;Dash!$F$49, "Small", AA197&gt;Dash!$F$47, "Good"), "Norm")</f>
        <v>Norm</v>
      </c>
      <c r="AC197">
        <v>142.5</v>
      </c>
      <c r="AD197" t="str">
        <f>_xlfn.IFNA(_xlfn.IFS(AC197&gt;Dash!$G$46, "Big", AC197&lt;Dash!$G$49, "Small", AC197&gt;Dash!$G$47, "Good"), "Norm")</f>
        <v>Norm</v>
      </c>
      <c r="AE197">
        <v>173.25</v>
      </c>
      <c r="AF197" t="str">
        <f>_xlfn.IFNA(_xlfn.IFS(AE197&gt;Dash!$H$46, "Big", AE197&lt;Dash!$H$49, "Small", AE197&gt;Dash!$H$47, "Good"), "Norm")</f>
        <v>Good</v>
      </c>
      <c r="AG197">
        <v>30.5</v>
      </c>
      <c r="AH197" t="str">
        <f>_xlfn.IFNA(_xlfn.IFS(AG197&gt;Dash!$I$46, "Big", AG197&lt;Dash!$I$49, "Small", AG197&gt;Dash!$I$47, "Good"), "Norm")</f>
        <v>Norm</v>
      </c>
    </row>
    <row r="198" spans="1:34" x14ac:dyDescent="0.25">
      <c r="A198" s="1">
        <v>45455</v>
      </c>
      <c r="B198" t="s">
        <v>18</v>
      </c>
      <c r="C198" t="s">
        <v>13</v>
      </c>
      <c r="D198" t="s">
        <v>28</v>
      </c>
      <c r="E198">
        <v>326</v>
      </c>
      <c r="F198">
        <v>1800</v>
      </c>
      <c r="G198">
        <v>1800</v>
      </c>
      <c r="J198" t="s">
        <v>29</v>
      </c>
      <c r="K198" t="s">
        <v>31</v>
      </c>
      <c r="L198" t="s">
        <v>44</v>
      </c>
      <c r="M198" t="s">
        <v>18</v>
      </c>
      <c r="N198">
        <v>11</v>
      </c>
      <c r="R198" t="s">
        <v>33</v>
      </c>
      <c r="S198" t="s">
        <v>43</v>
      </c>
      <c r="T198">
        <v>191</v>
      </c>
      <c r="U198" t="str">
        <f>_xlfn.IFNA(_xlfn.IFS(E198&gt;Dash!$D$46, "Big", E198&lt;Dash!$D$49, "Small", E198&gt;Dash!$D$47, "Good"), "Norm")</f>
        <v>Good</v>
      </c>
      <c r="V198" t="s">
        <v>33</v>
      </c>
      <c r="W198">
        <v>253</v>
      </c>
      <c r="X198" t="s">
        <v>28</v>
      </c>
      <c r="Y198">
        <v>36.25</v>
      </c>
      <c r="Z198" t="str">
        <f>_xlfn.IFNA(_xlfn.IFS(Y198&gt;Dash!$E$46, "Big", Y198&lt;Dash!$E$49, "Small", Y198&gt;Dash!$E$47, "Good"), "Norm")</f>
        <v>Small</v>
      </c>
      <c r="AA198">
        <v>37.5</v>
      </c>
      <c r="AB198" t="str">
        <f>_xlfn.IFNA(_xlfn.IFS(AA198&gt;Dash!$F$46, "Big", AA198&lt;Dash!$F$49, "Small", AA198&gt;Dash!$F$47, "Good"), "Norm")</f>
        <v>Small</v>
      </c>
      <c r="AC198">
        <v>284</v>
      </c>
      <c r="AD198" t="str">
        <f>_xlfn.IFNA(_xlfn.IFS(AC198&gt;Dash!$G$46, "Big", AC198&lt;Dash!$G$49, "Small", AC198&gt;Dash!$G$47, "Good"), "Norm")</f>
        <v>Good</v>
      </c>
      <c r="AE198">
        <v>155.75</v>
      </c>
      <c r="AF198" t="str">
        <f>_xlfn.IFNA(_xlfn.IFS(AE198&gt;Dash!$H$46, "Big", AE198&lt;Dash!$H$49, "Small", AE198&gt;Dash!$H$47, "Good"), "Norm")</f>
        <v>Good</v>
      </c>
      <c r="AG198">
        <v>148.5</v>
      </c>
      <c r="AH198" t="str">
        <f>_xlfn.IFNA(_xlfn.IFS(AG198&gt;Dash!$I$46, "Big", AG198&lt;Dash!$I$49, "Small", AG198&gt;Dash!$I$47, "Good"), "Norm")</f>
        <v>Big</v>
      </c>
    </row>
    <row r="199" spans="1:34" x14ac:dyDescent="0.25">
      <c r="A199" s="1">
        <v>45456</v>
      </c>
      <c r="B199" t="s">
        <v>36</v>
      </c>
      <c r="C199" t="s">
        <v>33</v>
      </c>
      <c r="D199" t="s">
        <v>43</v>
      </c>
      <c r="E199">
        <v>191</v>
      </c>
      <c r="F199">
        <v>2000</v>
      </c>
      <c r="G199">
        <v>500</v>
      </c>
      <c r="J199" t="s">
        <v>29</v>
      </c>
      <c r="K199" t="s">
        <v>35</v>
      </c>
      <c r="L199" t="s">
        <v>17</v>
      </c>
      <c r="M199" t="s">
        <v>18</v>
      </c>
      <c r="N199">
        <v>11</v>
      </c>
      <c r="R199" t="s">
        <v>20</v>
      </c>
      <c r="S199" t="s">
        <v>28</v>
      </c>
      <c r="T199">
        <v>159.25</v>
      </c>
      <c r="U199" t="str">
        <f>_xlfn.IFNA(_xlfn.IFS(E199&gt;Dash!$D$46, "Big", E199&lt;Dash!$D$49, "Small", E199&gt;Dash!$D$47, "Good"), "Norm")</f>
        <v>Norm</v>
      </c>
      <c r="V199" t="s">
        <v>13</v>
      </c>
      <c r="W199">
        <v>326</v>
      </c>
      <c r="X199" t="s">
        <v>28</v>
      </c>
      <c r="Y199">
        <v>58.25</v>
      </c>
      <c r="Z199" t="str">
        <f>_xlfn.IFNA(_xlfn.IFS(Y199&gt;Dash!$E$46, "Big", Y199&lt;Dash!$E$49, "Small", Y199&gt;Dash!$E$47, "Good"), "Norm")</f>
        <v>Norm</v>
      </c>
      <c r="AA199">
        <v>88.25</v>
      </c>
      <c r="AB199" t="str">
        <f>_xlfn.IFNA(_xlfn.IFS(AA199&gt;Dash!$F$46, "Big", AA199&lt;Dash!$F$49, "Small", AA199&gt;Dash!$F$47, "Good"), "Norm")</f>
        <v>Norm</v>
      </c>
      <c r="AC199">
        <v>156.25</v>
      </c>
      <c r="AD199" t="str">
        <f>_xlfn.IFNA(_xlfn.IFS(AC199&gt;Dash!$G$46, "Big", AC199&lt;Dash!$G$49, "Small", AC199&gt;Dash!$G$47, "Good"), "Norm")</f>
        <v>Norm</v>
      </c>
      <c r="AE199">
        <v>132.25</v>
      </c>
      <c r="AF199" t="str">
        <f>_xlfn.IFNA(_xlfn.IFS(AE199&gt;Dash!$H$46, "Big", AE199&lt;Dash!$H$49, "Small", AE199&gt;Dash!$H$47, "Good"), "Norm")</f>
        <v>Norm</v>
      </c>
      <c r="AG199">
        <v>49.5</v>
      </c>
      <c r="AH199" t="str">
        <f>_xlfn.IFNA(_xlfn.IFS(AG199&gt;Dash!$I$46, "Big", AG199&lt;Dash!$I$49, "Small", AG199&gt;Dash!$I$47, "Good"), "Norm")</f>
        <v>Good</v>
      </c>
    </row>
    <row r="200" spans="1:34" x14ac:dyDescent="0.25">
      <c r="A200" s="1">
        <v>45457</v>
      </c>
      <c r="B200" t="s">
        <v>26</v>
      </c>
      <c r="C200" t="s">
        <v>20</v>
      </c>
      <c r="D200" t="s">
        <v>28</v>
      </c>
      <c r="E200">
        <v>159.25</v>
      </c>
      <c r="F200">
        <v>1500</v>
      </c>
      <c r="J200" t="s">
        <v>49</v>
      </c>
      <c r="K200" t="s">
        <v>39</v>
      </c>
      <c r="L200" t="s">
        <v>44</v>
      </c>
      <c r="M200" t="s">
        <v>18</v>
      </c>
      <c r="N200">
        <v>11</v>
      </c>
      <c r="R200" t="s">
        <v>33</v>
      </c>
      <c r="S200" t="s">
        <v>40</v>
      </c>
      <c r="T200">
        <v>367.25</v>
      </c>
      <c r="U200" t="str">
        <f>_xlfn.IFNA(_xlfn.IFS(E200&gt;Dash!$D$46, "Big", E200&lt;Dash!$D$49, "Small", E200&gt;Dash!$D$47, "Good"), "Norm")</f>
        <v>Norm</v>
      </c>
      <c r="V200" t="s">
        <v>33</v>
      </c>
      <c r="W200">
        <v>191</v>
      </c>
      <c r="X200" t="s">
        <v>43</v>
      </c>
      <c r="Y200">
        <v>54.5</v>
      </c>
      <c r="Z200" t="str">
        <f>_xlfn.IFNA(_xlfn.IFS(Y200&gt;Dash!$E$46, "Big", Y200&lt;Dash!$E$49, "Small", Y200&gt;Dash!$E$47, "Good"), "Norm")</f>
        <v>Norm</v>
      </c>
      <c r="AA200">
        <v>157</v>
      </c>
      <c r="AB200" t="str">
        <f>_xlfn.IFNA(_xlfn.IFS(AA200&gt;Dash!$F$46, "Big", AA200&lt;Dash!$F$49, "Small", AA200&gt;Dash!$F$47, "Good"), "Norm")</f>
        <v>Big</v>
      </c>
      <c r="AC200">
        <v>115.25</v>
      </c>
      <c r="AD200" t="str">
        <f>_xlfn.IFNA(_xlfn.IFS(AC200&gt;Dash!$G$46, "Big", AC200&lt;Dash!$G$49, "Small", AC200&gt;Dash!$G$47, "Good"), "Norm")</f>
        <v>Small</v>
      </c>
      <c r="AE200">
        <v>91.5</v>
      </c>
      <c r="AF200" t="str">
        <f>_xlfn.IFNA(_xlfn.IFS(AE200&gt;Dash!$H$46, "Big", AE200&lt;Dash!$H$49, "Small", AE200&gt;Dash!$H$47, "Good"), "Norm")</f>
        <v>Small</v>
      </c>
      <c r="AG200">
        <v>20.5</v>
      </c>
      <c r="AH200" t="str">
        <f>_xlfn.IFNA(_xlfn.IFS(AG200&gt;Dash!$I$46, "Big", AG200&lt;Dash!$I$49, "Small", AG200&gt;Dash!$I$47, "Good"), "Norm")</f>
        <v>Small</v>
      </c>
    </row>
    <row r="201" spans="1:34" x14ac:dyDescent="0.25">
      <c r="A201" s="1">
        <v>45460</v>
      </c>
      <c r="B201" t="s">
        <v>23</v>
      </c>
      <c r="C201" t="s">
        <v>33</v>
      </c>
      <c r="D201" t="s">
        <v>40</v>
      </c>
      <c r="E201">
        <v>367.25</v>
      </c>
      <c r="F201">
        <v>1800</v>
      </c>
      <c r="J201" t="s">
        <v>29</v>
      </c>
      <c r="K201" t="s">
        <v>25</v>
      </c>
      <c r="L201" t="s">
        <v>32</v>
      </c>
      <c r="M201" t="s">
        <v>19</v>
      </c>
      <c r="N201">
        <v>7</v>
      </c>
      <c r="R201" t="s">
        <v>33</v>
      </c>
      <c r="S201">
        <v>1</v>
      </c>
      <c r="T201">
        <v>143.5</v>
      </c>
      <c r="U201" t="str">
        <f>_xlfn.IFNA(_xlfn.IFS(E201&gt;Dash!$D$46, "Big", E201&lt;Dash!$D$49, "Small", E201&gt;Dash!$D$47, "Good"), "Norm")</f>
        <v>Good</v>
      </c>
      <c r="V201" t="s">
        <v>20</v>
      </c>
      <c r="W201">
        <v>159.25</v>
      </c>
      <c r="X201" t="s">
        <v>28</v>
      </c>
      <c r="Y201">
        <v>56</v>
      </c>
      <c r="Z201" t="str">
        <f>_xlfn.IFNA(_xlfn.IFS(Y201&gt;Dash!$E$46, "Big", Y201&lt;Dash!$E$49, "Small", Y201&gt;Dash!$E$47, "Good"), "Norm")</f>
        <v>Norm</v>
      </c>
      <c r="AA201">
        <v>87.25</v>
      </c>
      <c r="AB201" t="str">
        <f>_xlfn.IFNA(_xlfn.IFS(AA201&gt;Dash!$F$46, "Big", AA201&lt;Dash!$F$49, "Small", AA201&gt;Dash!$F$47, "Good"), "Norm")</f>
        <v>Norm</v>
      </c>
      <c r="AC201">
        <v>119.75</v>
      </c>
      <c r="AD201" t="str">
        <f>_xlfn.IFNA(_xlfn.IFS(AC201&gt;Dash!$G$46, "Big", AC201&lt;Dash!$G$49, "Small", AC201&gt;Dash!$G$47, "Good"), "Norm")</f>
        <v>Norm</v>
      </c>
      <c r="AE201">
        <v>264</v>
      </c>
      <c r="AF201" t="str">
        <f>_xlfn.IFNA(_xlfn.IFS(AE201&gt;Dash!$H$46, "Big", AE201&lt;Dash!$H$49, "Small", AE201&gt;Dash!$H$47, "Good"), "Norm")</f>
        <v>Big</v>
      </c>
      <c r="AG201">
        <v>35.5</v>
      </c>
      <c r="AH201" t="str">
        <f>_xlfn.IFNA(_xlfn.IFS(AG201&gt;Dash!$I$46, "Big", AG201&lt;Dash!$I$49, "Small", AG201&gt;Dash!$I$47, "Good"), "Norm")</f>
        <v>Norm</v>
      </c>
    </row>
    <row r="202" spans="1:34" x14ac:dyDescent="0.25">
      <c r="A202" s="1">
        <v>45461</v>
      </c>
      <c r="B202" t="s">
        <v>19</v>
      </c>
      <c r="C202" t="s">
        <v>33</v>
      </c>
      <c r="D202">
        <v>1</v>
      </c>
      <c r="E202">
        <v>143.5</v>
      </c>
      <c r="J202" t="s">
        <v>34</v>
      </c>
      <c r="K202" t="s">
        <v>35</v>
      </c>
      <c r="L202" t="s">
        <v>25</v>
      </c>
      <c r="M202" t="s">
        <v>19</v>
      </c>
      <c r="N202">
        <v>7</v>
      </c>
      <c r="R202" t="s">
        <v>20</v>
      </c>
      <c r="S202" t="s">
        <v>48</v>
      </c>
      <c r="T202">
        <v>347.5</v>
      </c>
      <c r="U202" t="str">
        <f>_xlfn.IFNA(_xlfn.IFS(E202&gt;Dash!$D$46, "Big", E202&lt;Dash!$D$49, "Small", E202&gt;Dash!$D$47, "Good"), "Norm")</f>
        <v>Small</v>
      </c>
      <c r="V202" t="s">
        <v>33</v>
      </c>
      <c r="W202">
        <v>367.25</v>
      </c>
      <c r="X202" t="s">
        <v>40</v>
      </c>
      <c r="Y202">
        <v>60.5</v>
      </c>
      <c r="Z202" t="str">
        <f>_xlfn.IFNA(_xlfn.IFS(Y202&gt;Dash!$E$46, "Big", Y202&lt;Dash!$E$49, "Small", Y202&gt;Dash!$E$47, "Good"), "Norm")</f>
        <v>Norm</v>
      </c>
      <c r="AA202">
        <v>65.25</v>
      </c>
      <c r="AB202" t="str">
        <f>_xlfn.IFNA(_xlfn.IFS(AA202&gt;Dash!$F$46, "Big", AA202&lt;Dash!$F$49, "Small", AA202&gt;Dash!$F$47, "Good"), "Norm")</f>
        <v>Norm</v>
      </c>
      <c r="AC202">
        <v>143.5</v>
      </c>
      <c r="AD202" t="str">
        <f>_xlfn.IFNA(_xlfn.IFS(AC202&gt;Dash!$G$46, "Big", AC202&lt;Dash!$G$49, "Small", AC202&gt;Dash!$G$47, "Good"), "Norm")</f>
        <v>Norm</v>
      </c>
      <c r="AE202">
        <v>69.25</v>
      </c>
      <c r="AF202" t="str">
        <f>_xlfn.IFNA(_xlfn.IFS(AE202&gt;Dash!$H$46, "Big", AE202&lt;Dash!$H$49, "Small", AE202&gt;Dash!$H$47, "Good"), "Norm")</f>
        <v>Small</v>
      </c>
      <c r="AG202">
        <v>18.25</v>
      </c>
      <c r="AH202" t="str">
        <f>_xlfn.IFNA(_xlfn.IFS(AG202&gt;Dash!$I$46, "Big", AG202&lt;Dash!$I$49, "Small", AG202&gt;Dash!$I$47, "Good"), "Norm")</f>
        <v>Small</v>
      </c>
    </row>
    <row r="203" spans="1:34" x14ac:dyDescent="0.25">
      <c r="A203" s="1">
        <v>45463</v>
      </c>
      <c r="B203" t="s">
        <v>36</v>
      </c>
      <c r="C203" t="s">
        <v>20</v>
      </c>
      <c r="D203" t="s">
        <v>48</v>
      </c>
      <c r="E203">
        <v>347.5</v>
      </c>
      <c r="F203">
        <v>2100</v>
      </c>
      <c r="G203">
        <v>800</v>
      </c>
      <c r="H203">
        <v>1000</v>
      </c>
      <c r="I203">
        <v>1000</v>
      </c>
      <c r="J203" t="s">
        <v>29</v>
      </c>
      <c r="K203" t="s">
        <v>22</v>
      </c>
      <c r="L203" t="s">
        <v>17</v>
      </c>
      <c r="M203" t="s">
        <v>19</v>
      </c>
      <c r="N203">
        <v>7</v>
      </c>
      <c r="R203" t="s">
        <v>41</v>
      </c>
      <c r="S203" t="s">
        <v>46</v>
      </c>
      <c r="T203">
        <v>158.5</v>
      </c>
      <c r="U203" t="str">
        <f>_xlfn.IFNA(_xlfn.IFS(E203&gt;Dash!$D$46, "Big", E203&lt;Dash!$D$49, "Small", E203&gt;Dash!$D$47, "Good"), "Norm")</f>
        <v>Good</v>
      </c>
      <c r="V203" t="s">
        <v>33</v>
      </c>
      <c r="W203">
        <v>143.5</v>
      </c>
      <c r="X203">
        <v>1</v>
      </c>
      <c r="Y203">
        <v>106</v>
      </c>
      <c r="Z203" t="str">
        <f>_xlfn.IFNA(_xlfn.IFS(Y203&gt;Dash!$E$46, "Big", Y203&lt;Dash!$E$49, "Small", Y203&gt;Dash!$E$47, "Good"), "Norm")</f>
        <v>Good</v>
      </c>
      <c r="AA203">
        <v>80</v>
      </c>
      <c r="AB203" t="str">
        <f>_xlfn.IFNA(_xlfn.IFS(AA203&gt;Dash!$F$46, "Big", AA203&lt;Dash!$F$49, "Small", AA203&gt;Dash!$F$47, "Good"), "Norm")</f>
        <v>Norm</v>
      </c>
      <c r="AC203">
        <v>187.25</v>
      </c>
      <c r="AD203" t="str">
        <f>_xlfn.IFNA(_xlfn.IFS(AC203&gt;Dash!$G$46, "Big", AC203&lt;Dash!$G$49, "Small", AC203&gt;Dash!$G$47, "Good"), "Norm")</f>
        <v>Norm</v>
      </c>
      <c r="AE203">
        <v>217.25</v>
      </c>
      <c r="AF203" t="str">
        <f>_xlfn.IFNA(_xlfn.IFS(AE203&gt;Dash!$H$46, "Big", AE203&lt;Dash!$H$49, "Small", AE203&gt;Dash!$H$47, "Good"), "Norm")</f>
        <v>Good</v>
      </c>
      <c r="AG203">
        <v>28.75</v>
      </c>
      <c r="AH203" t="str">
        <f>_xlfn.IFNA(_xlfn.IFS(AG203&gt;Dash!$I$46, "Big", AG203&lt;Dash!$I$49, "Small", AG203&gt;Dash!$I$47, "Good"), "Norm")</f>
        <v>Norm</v>
      </c>
    </row>
    <row r="204" spans="1:34" x14ac:dyDescent="0.25">
      <c r="A204" s="1">
        <v>45464</v>
      </c>
      <c r="B204" t="s">
        <v>26</v>
      </c>
      <c r="C204" t="s">
        <v>41</v>
      </c>
      <c r="D204" t="s">
        <v>46</v>
      </c>
      <c r="E204">
        <v>158.5</v>
      </c>
      <c r="F204">
        <v>400</v>
      </c>
      <c r="G204">
        <v>400</v>
      </c>
      <c r="J204" t="s">
        <v>15</v>
      </c>
      <c r="K204" t="s">
        <v>22</v>
      </c>
      <c r="L204" t="s">
        <v>25</v>
      </c>
      <c r="M204" t="s">
        <v>19</v>
      </c>
      <c r="N204">
        <v>7</v>
      </c>
      <c r="O204" t="s">
        <v>67</v>
      </c>
      <c r="R204" t="s">
        <v>13</v>
      </c>
      <c r="S204" t="s">
        <v>14</v>
      </c>
      <c r="T204">
        <v>255</v>
      </c>
      <c r="U204" t="str">
        <f>_xlfn.IFNA(_xlfn.IFS(E204&gt;Dash!$D$46, "Big", E204&lt;Dash!$D$49, "Small", E204&gt;Dash!$D$47, "Good"), "Norm")</f>
        <v>Norm</v>
      </c>
      <c r="V204" t="s">
        <v>20</v>
      </c>
      <c r="W204">
        <v>347.5</v>
      </c>
      <c r="X204" t="s">
        <v>48</v>
      </c>
      <c r="Y204">
        <v>44.5</v>
      </c>
      <c r="Z204" t="str">
        <f>_xlfn.IFNA(_xlfn.IFS(Y204&gt;Dash!$E$46, "Big", Y204&lt;Dash!$E$49, "Small", Y204&gt;Dash!$E$47, "Good"), "Norm")</f>
        <v>Norm</v>
      </c>
      <c r="AA204">
        <v>138.25</v>
      </c>
      <c r="AB204" t="str">
        <f>_xlfn.IFNA(_xlfn.IFS(AA204&gt;Dash!$F$46, "Big", AA204&lt;Dash!$F$49, "Small", AA204&gt;Dash!$F$47, "Good"), "Norm")</f>
        <v>Good</v>
      </c>
      <c r="AC204">
        <v>153.75</v>
      </c>
      <c r="AD204" t="str">
        <f>_xlfn.IFNA(_xlfn.IFS(AC204&gt;Dash!$G$46, "Big", AC204&lt;Dash!$G$49, "Small", AC204&gt;Dash!$G$47, "Good"), "Norm")</f>
        <v>Norm</v>
      </c>
      <c r="AE204">
        <v>125.25</v>
      </c>
      <c r="AF204" t="str">
        <f>_xlfn.IFNA(_xlfn.IFS(AE204&gt;Dash!$H$46, "Big", AE204&lt;Dash!$H$49, "Small", AE204&gt;Dash!$H$47, "Good"), "Norm")</f>
        <v>Norm</v>
      </c>
      <c r="AG204">
        <v>38.25</v>
      </c>
      <c r="AH204" t="str">
        <f>_xlfn.IFNA(_xlfn.IFS(AG204&gt;Dash!$I$46, "Big", AG204&lt;Dash!$I$49, "Small", AG204&gt;Dash!$I$47, "Good"), "Norm")</f>
        <v>Good</v>
      </c>
    </row>
    <row r="205" spans="1:34" x14ac:dyDescent="0.25">
      <c r="A205" s="1">
        <v>45467</v>
      </c>
      <c r="B205" t="s">
        <v>23</v>
      </c>
      <c r="C205" t="s">
        <v>13</v>
      </c>
      <c r="D205" t="s">
        <v>14</v>
      </c>
      <c r="E205">
        <v>255</v>
      </c>
      <c r="F205">
        <v>900</v>
      </c>
      <c r="G205">
        <v>900</v>
      </c>
      <c r="J205" t="s">
        <v>45</v>
      </c>
      <c r="K205" t="s">
        <v>16</v>
      </c>
      <c r="L205" t="s">
        <v>17</v>
      </c>
      <c r="M205" t="s">
        <v>19</v>
      </c>
      <c r="N205">
        <v>6</v>
      </c>
      <c r="R205" t="s">
        <v>20</v>
      </c>
      <c r="S205" t="s">
        <v>46</v>
      </c>
      <c r="T205">
        <v>189</v>
      </c>
      <c r="U205" t="str">
        <f>_xlfn.IFNA(_xlfn.IFS(E205&gt;Dash!$D$46, "Big", E205&lt;Dash!$D$49, "Small", E205&gt;Dash!$D$47, "Good"), "Norm")</f>
        <v>Good</v>
      </c>
      <c r="V205" t="s">
        <v>41</v>
      </c>
      <c r="W205">
        <v>158.5</v>
      </c>
      <c r="X205" t="s">
        <v>46</v>
      </c>
      <c r="Y205">
        <v>111.75</v>
      </c>
      <c r="Z205" t="str">
        <f>_xlfn.IFNA(_xlfn.IFS(Y205&gt;Dash!$E$46, "Big", Y205&lt;Dash!$E$49, "Small", Y205&gt;Dash!$E$47, "Good"), "Norm")</f>
        <v>Good</v>
      </c>
      <c r="AA205">
        <v>90.5</v>
      </c>
      <c r="AB205" t="str">
        <f>_xlfn.IFNA(_xlfn.IFS(AA205&gt;Dash!$F$46, "Big", AA205&lt;Dash!$F$49, "Small", AA205&gt;Dash!$F$47, "Good"), "Norm")</f>
        <v>Norm</v>
      </c>
      <c r="AC205">
        <v>174.25</v>
      </c>
      <c r="AD205" t="str">
        <f>_xlfn.IFNA(_xlfn.IFS(AC205&gt;Dash!$G$46, "Big", AC205&lt;Dash!$G$49, "Small", AC205&gt;Dash!$G$47, "Good"), "Norm")</f>
        <v>Norm</v>
      </c>
      <c r="AE205">
        <v>181.25</v>
      </c>
      <c r="AF205" t="str">
        <f>_xlfn.IFNA(_xlfn.IFS(AE205&gt;Dash!$H$46, "Big", AE205&lt;Dash!$H$49, "Small", AE205&gt;Dash!$H$47, "Good"), "Norm")</f>
        <v>Good</v>
      </c>
      <c r="AG205">
        <v>37.5</v>
      </c>
      <c r="AH205" t="str">
        <f>_xlfn.IFNA(_xlfn.IFS(AG205&gt;Dash!$I$46, "Big", AG205&lt;Dash!$I$49, "Small", AG205&gt;Dash!$I$47, "Good"), "Norm")</f>
        <v>Good</v>
      </c>
    </row>
    <row r="206" spans="1:34" x14ac:dyDescent="0.25">
      <c r="A206" s="1">
        <v>45468</v>
      </c>
      <c r="B206" t="s">
        <v>19</v>
      </c>
      <c r="C206" t="s">
        <v>20</v>
      </c>
      <c r="D206" t="s">
        <v>46</v>
      </c>
      <c r="E206">
        <v>189</v>
      </c>
      <c r="F206">
        <v>400</v>
      </c>
      <c r="G206">
        <v>400</v>
      </c>
      <c r="J206" t="s">
        <v>15</v>
      </c>
      <c r="K206" t="s">
        <v>39</v>
      </c>
      <c r="L206" t="s">
        <v>32</v>
      </c>
      <c r="M206" t="s">
        <v>19</v>
      </c>
      <c r="N206">
        <v>6</v>
      </c>
      <c r="R206" t="s">
        <v>41</v>
      </c>
      <c r="S206" t="s">
        <v>43</v>
      </c>
      <c r="T206">
        <v>127</v>
      </c>
      <c r="U206" t="str">
        <f>_xlfn.IFNA(_xlfn.IFS(E206&gt;Dash!$D$46, "Big", E206&lt;Dash!$D$49, "Small", E206&gt;Dash!$D$47, "Good"), "Norm")</f>
        <v>Norm</v>
      </c>
      <c r="V206" t="s">
        <v>13</v>
      </c>
      <c r="W206">
        <v>255</v>
      </c>
      <c r="X206" t="s">
        <v>14</v>
      </c>
      <c r="Y206">
        <v>67.75</v>
      </c>
      <c r="Z206" t="str">
        <f>_xlfn.IFNA(_xlfn.IFS(Y206&gt;Dash!$E$46, "Big", Y206&lt;Dash!$E$49, "Small", Y206&gt;Dash!$E$47, "Good"), "Norm")</f>
        <v>Norm</v>
      </c>
      <c r="AA206">
        <v>125</v>
      </c>
      <c r="AB206" t="str">
        <f>_xlfn.IFNA(_xlfn.IFS(AA206&gt;Dash!$F$46, "Big", AA206&lt;Dash!$F$49, "Small", AA206&gt;Dash!$F$47, "Good"), "Norm")</f>
        <v>Good</v>
      </c>
      <c r="AC206">
        <v>168.5</v>
      </c>
      <c r="AD206" t="str">
        <f>_xlfn.IFNA(_xlfn.IFS(AC206&gt;Dash!$G$46, "Big", AC206&lt;Dash!$G$49, "Small", AC206&gt;Dash!$G$47, "Good"), "Norm")</f>
        <v>Norm</v>
      </c>
      <c r="AE206">
        <v>143.5</v>
      </c>
      <c r="AF206" t="str">
        <f>_xlfn.IFNA(_xlfn.IFS(AE206&gt;Dash!$H$46, "Big", AE206&lt;Dash!$H$49, "Small", AE206&gt;Dash!$H$47, "Good"), "Norm")</f>
        <v>Norm</v>
      </c>
      <c r="AG206">
        <v>18.25</v>
      </c>
      <c r="AH206" t="str">
        <f>_xlfn.IFNA(_xlfn.IFS(AG206&gt;Dash!$I$46, "Big", AG206&lt;Dash!$I$49, "Small", AG206&gt;Dash!$I$47, "Good"), "Norm")</f>
        <v>Small</v>
      </c>
    </row>
    <row r="207" spans="1:34" x14ac:dyDescent="0.25">
      <c r="A207" s="1">
        <v>45469</v>
      </c>
      <c r="B207" t="s">
        <v>18</v>
      </c>
      <c r="C207" t="s">
        <v>41</v>
      </c>
      <c r="D207" t="s">
        <v>43</v>
      </c>
      <c r="E207">
        <v>127</v>
      </c>
      <c r="F207">
        <v>1800</v>
      </c>
      <c r="G207">
        <v>1800</v>
      </c>
      <c r="J207" t="s">
        <v>29</v>
      </c>
      <c r="K207" t="s">
        <v>22</v>
      </c>
      <c r="L207" t="s">
        <v>25</v>
      </c>
      <c r="M207" t="s">
        <v>19</v>
      </c>
      <c r="N207">
        <v>6</v>
      </c>
      <c r="R207" t="s">
        <v>24</v>
      </c>
      <c r="S207" t="s">
        <v>38</v>
      </c>
      <c r="T207">
        <v>163.75</v>
      </c>
      <c r="U207" t="str">
        <f>_xlfn.IFNA(_xlfn.IFS(E207&gt;Dash!$D$46, "Big", E207&lt;Dash!$D$49, "Small", E207&gt;Dash!$D$47, "Good"), "Norm")</f>
        <v>Small</v>
      </c>
      <c r="V207" t="s">
        <v>20</v>
      </c>
      <c r="W207">
        <v>189</v>
      </c>
      <c r="X207" t="s">
        <v>46</v>
      </c>
      <c r="Y207">
        <v>53.25</v>
      </c>
      <c r="Z207" t="str">
        <f>_xlfn.IFNA(_xlfn.IFS(Y207&gt;Dash!$E$46, "Big", Y207&lt;Dash!$E$49, "Small", Y207&gt;Dash!$E$47, "Good"), "Norm")</f>
        <v>Norm</v>
      </c>
      <c r="AA207">
        <v>89.75</v>
      </c>
      <c r="AB207" t="str">
        <f>_xlfn.IFNA(_xlfn.IFS(AA207&gt;Dash!$F$46, "Big", AA207&lt;Dash!$F$49, "Small", AA207&gt;Dash!$F$47, "Good"), "Norm")</f>
        <v>Norm</v>
      </c>
      <c r="AC207">
        <v>127</v>
      </c>
      <c r="AD207" t="str">
        <f>_xlfn.IFNA(_xlfn.IFS(AC207&gt;Dash!$G$46, "Big", AC207&lt;Dash!$G$49, "Small", AC207&gt;Dash!$G$47, "Good"), "Norm")</f>
        <v>Norm</v>
      </c>
      <c r="AE207">
        <v>100.25</v>
      </c>
      <c r="AF207" t="str">
        <f>_xlfn.IFNA(_xlfn.IFS(AE207&gt;Dash!$H$46, "Big", AE207&lt;Dash!$H$49, "Small", AE207&gt;Dash!$H$47, "Good"), "Norm")</f>
        <v>Norm</v>
      </c>
      <c r="AG207">
        <v>86.25</v>
      </c>
      <c r="AH207" t="str">
        <f>_xlfn.IFNA(_xlfn.IFS(AG207&gt;Dash!$I$46, "Big", AG207&lt;Dash!$I$49, "Small", AG207&gt;Dash!$I$47, "Good"), "Norm")</f>
        <v>Big</v>
      </c>
    </row>
    <row r="208" spans="1:34" x14ac:dyDescent="0.25">
      <c r="A208" s="1">
        <v>45470</v>
      </c>
      <c r="B208" t="s">
        <v>36</v>
      </c>
      <c r="C208" t="s">
        <v>24</v>
      </c>
      <c r="D208" t="s">
        <v>38</v>
      </c>
      <c r="E208">
        <v>163.75</v>
      </c>
      <c r="F208">
        <v>2000</v>
      </c>
      <c r="G208">
        <v>2100</v>
      </c>
      <c r="H208">
        <v>900</v>
      </c>
      <c r="I208">
        <v>1000</v>
      </c>
      <c r="J208" t="s">
        <v>37</v>
      </c>
      <c r="K208" t="s">
        <v>31</v>
      </c>
      <c r="L208" t="s">
        <v>35</v>
      </c>
      <c r="M208" t="s">
        <v>19</v>
      </c>
      <c r="N208">
        <v>6</v>
      </c>
      <c r="R208" t="s">
        <v>33</v>
      </c>
      <c r="S208" t="s">
        <v>43</v>
      </c>
      <c r="T208">
        <v>367</v>
      </c>
      <c r="U208" t="str">
        <f>_xlfn.IFNA(_xlfn.IFS(E208&gt;Dash!$D$46, "Big", E208&lt;Dash!$D$49, "Small", E208&gt;Dash!$D$47, "Good"), "Norm")</f>
        <v>Norm</v>
      </c>
      <c r="V208" t="s">
        <v>41</v>
      </c>
      <c r="W208">
        <v>127</v>
      </c>
      <c r="X208" t="s">
        <v>43</v>
      </c>
      <c r="Y208">
        <v>88.75</v>
      </c>
      <c r="Z208" t="str">
        <f>_xlfn.IFNA(_xlfn.IFS(Y208&gt;Dash!$E$46, "Big", Y208&lt;Dash!$E$49, "Small", Y208&gt;Dash!$E$47, "Good"), "Norm")</f>
        <v>Good</v>
      </c>
      <c r="AA208">
        <v>59</v>
      </c>
      <c r="AB208" t="str">
        <f>_xlfn.IFNA(_xlfn.IFS(AA208&gt;Dash!$F$46, "Big", AA208&lt;Dash!$F$49, "Small", AA208&gt;Dash!$F$47, "Good"), "Norm")</f>
        <v>Norm</v>
      </c>
      <c r="AC208">
        <v>163.75</v>
      </c>
      <c r="AD208" t="str">
        <f>_xlfn.IFNA(_xlfn.IFS(AC208&gt;Dash!$G$46, "Big", AC208&lt;Dash!$G$49, "Small", AC208&gt;Dash!$G$47, "Good"), "Norm")</f>
        <v>Norm</v>
      </c>
      <c r="AE208">
        <v>85.25</v>
      </c>
      <c r="AF208" t="str">
        <f>_xlfn.IFNA(_xlfn.IFS(AE208&gt;Dash!$H$46, "Big", AE208&lt;Dash!$H$49, "Small", AE208&gt;Dash!$H$47, "Good"), "Norm")</f>
        <v>Small</v>
      </c>
      <c r="AG208">
        <v>34.25</v>
      </c>
      <c r="AH208" t="str">
        <f>_xlfn.IFNA(_xlfn.IFS(AG208&gt;Dash!$I$46, "Big", AG208&lt;Dash!$I$49, "Small", AG208&gt;Dash!$I$47, "Good"), "Norm")</f>
        <v>Norm</v>
      </c>
    </row>
    <row r="209" spans="1:34" x14ac:dyDescent="0.25">
      <c r="A209" s="1">
        <v>45471</v>
      </c>
      <c r="B209" t="s">
        <v>26</v>
      </c>
      <c r="C209" t="s">
        <v>33</v>
      </c>
      <c r="D209" t="s">
        <v>43</v>
      </c>
      <c r="E209">
        <v>367</v>
      </c>
      <c r="F209">
        <v>2100</v>
      </c>
      <c r="G209" t="s">
        <v>163</v>
      </c>
      <c r="J209" t="s">
        <v>29</v>
      </c>
      <c r="K209" t="s">
        <v>35</v>
      </c>
      <c r="L209" t="s">
        <v>17</v>
      </c>
      <c r="M209" t="s">
        <v>19</v>
      </c>
      <c r="N209">
        <v>6</v>
      </c>
      <c r="R209" t="s">
        <v>33</v>
      </c>
      <c r="S209" t="s">
        <v>46</v>
      </c>
      <c r="T209">
        <v>262.25</v>
      </c>
      <c r="U209" t="str">
        <f>_xlfn.IFNA(_xlfn.IFS(E209&gt;Dash!$D$46, "Big", E209&lt;Dash!$D$49, "Small", E209&gt;Dash!$D$47, "Good"), "Norm")</f>
        <v>Good</v>
      </c>
      <c r="V209" t="s">
        <v>24</v>
      </c>
      <c r="W209">
        <v>163.75</v>
      </c>
      <c r="X209" t="s">
        <v>38</v>
      </c>
      <c r="Y209">
        <v>79.25</v>
      </c>
      <c r="Z209" t="str">
        <f>_xlfn.IFNA(_xlfn.IFS(Y209&gt;Dash!$E$46, "Big", Y209&lt;Dash!$E$49, "Small", Y209&gt;Dash!$E$47, "Good"), "Norm")</f>
        <v>Good</v>
      </c>
      <c r="AA209">
        <v>41.25</v>
      </c>
      <c r="AB209" t="str">
        <f>_xlfn.IFNA(_xlfn.IFS(AA209&gt;Dash!$F$46, "Big", AA209&lt;Dash!$F$49, "Small", AA209&gt;Dash!$F$47, "Good"), "Norm")</f>
        <v>Small</v>
      </c>
      <c r="AC209">
        <v>234</v>
      </c>
      <c r="AD209" t="str">
        <f>_xlfn.IFNA(_xlfn.IFS(AC209&gt;Dash!$G$46, "Big", AC209&lt;Dash!$G$49, "Small", AC209&gt;Dash!$G$47, "Good"), "Norm")</f>
        <v>Good</v>
      </c>
      <c r="AE209">
        <v>209</v>
      </c>
      <c r="AF209" t="str">
        <f>_xlfn.IFNA(_xlfn.IFS(AE209&gt;Dash!$H$46, "Big", AE209&lt;Dash!$H$49, "Small", AE209&gt;Dash!$H$47, "Good"), "Norm")</f>
        <v>Good</v>
      </c>
      <c r="AG209">
        <v>45.5</v>
      </c>
      <c r="AH209" t="str">
        <f>_xlfn.IFNA(_xlfn.IFS(AG209&gt;Dash!$I$46, "Big", AG209&lt;Dash!$I$49, "Small", AG209&gt;Dash!$I$47, "Good"), "Norm")</f>
        <v>Good</v>
      </c>
    </row>
    <row r="210" spans="1:34" x14ac:dyDescent="0.25">
      <c r="A210" s="1">
        <v>45474</v>
      </c>
      <c r="B210" t="s">
        <v>23</v>
      </c>
      <c r="C210" t="s">
        <v>33</v>
      </c>
      <c r="D210" t="s">
        <v>46</v>
      </c>
      <c r="E210">
        <v>262.25</v>
      </c>
      <c r="F210">
        <v>500</v>
      </c>
      <c r="G210">
        <v>500</v>
      </c>
      <c r="J210" t="s">
        <v>15</v>
      </c>
      <c r="K210" t="s">
        <v>25</v>
      </c>
      <c r="L210" t="s">
        <v>32</v>
      </c>
      <c r="M210" t="s">
        <v>23</v>
      </c>
      <c r="N210">
        <v>10</v>
      </c>
      <c r="R210" t="s">
        <v>20</v>
      </c>
      <c r="S210" t="s">
        <v>28</v>
      </c>
      <c r="T210">
        <v>332</v>
      </c>
      <c r="U210" t="str">
        <f>_xlfn.IFNA(_xlfn.IFS(E210&gt;Dash!$D$46, "Big", E210&lt;Dash!$D$49, "Small", E210&gt;Dash!$D$47, "Good"), "Norm")</f>
        <v>Good</v>
      </c>
      <c r="V210" t="s">
        <v>33</v>
      </c>
      <c r="W210">
        <v>367</v>
      </c>
      <c r="X210" t="s">
        <v>43</v>
      </c>
      <c r="Y210">
        <v>77</v>
      </c>
      <c r="Z210" t="str">
        <f>_xlfn.IFNA(_xlfn.IFS(Y210&gt;Dash!$E$46, "Big", Y210&lt;Dash!$E$49, "Small", Y210&gt;Dash!$E$47, "Good"), "Norm")</f>
        <v>Norm</v>
      </c>
      <c r="AA210">
        <v>119.25</v>
      </c>
      <c r="AB210" t="str">
        <f>_xlfn.IFNA(_xlfn.IFS(AA210&gt;Dash!$F$46, "Big", AA210&lt;Dash!$F$49, "Small", AA210&gt;Dash!$F$47, "Good"), "Norm")</f>
        <v>Good</v>
      </c>
      <c r="AC210">
        <v>180.75</v>
      </c>
      <c r="AD210" t="str">
        <f>_xlfn.IFNA(_xlfn.IFS(AC210&gt;Dash!$G$46, "Big", AC210&lt;Dash!$G$49, "Small", AC210&gt;Dash!$G$47, "Good"), "Norm")</f>
        <v>Norm</v>
      </c>
      <c r="AE210">
        <v>116.75</v>
      </c>
      <c r="AF210" t="str">
        <f>_xlfn.IFNA(_xlfn.IFS(AE210&gt;Dash!$H$46, "Big", AE210&lt;Dash!$H$49, "Small", AE210&gt;Dash!$H$47, "Good"), "Norm")</f>
        <v>Norm</v>
      </c>
      <c r="AG210">
        <v>21.75</v>
      </c>
      <c r="AH210" t="str">
        <f>_xlfn.IFNA(_xlfn.IFS(AG210&gt;Dash!$I$46, "Big", AG210&lt;Dash!$I$49, "Small", AG210&gt;Dash!$I$47, "Good"), "Norm")</f>
        <v>Norm</v>
      </c>
    </row>
    <row r="211" spans="1:34" x14ac:dyDescent="0.25">
      <c r="A211" s="1">
        <v>45475</v>
      </c>
      <c r="B211" t="s">
        <v>19</v>
      </c>
      <c r="C211" t="s">
        <v>20</v>
      </c>
      <c r="D211" t="s">
        <v>28</v>
      </c>
      <c r="E211">
        <v>332</v>
      </c>
      <c r="F211">
        <v>900</v>
      </c>
      <c r="G211">
        <v>900</v>
      </c>
      <c r="J211" t="s">
        <v>27</v>
      </c>
      <c r="K211" t="s">
        <v>39</v>
      </c>
      <c r="L211" t="s">
        <v>32</v>
      </c>
      <c r="M211" t="s">
        <v>23</v>
      </c>
      <c r="N211">
        <v>10</v>
      </c>
      <c r="R211" t="s">
        <v>33</v>
      </c>
      <c r="S211" t="s">
        <v>28</v>
      </c>
      <c r="T211">
        <v>230.25</v>
      </c>
      <c r="U211" t="str">
        <f>_xlfn.IFNA(_xlfn.IFS(E211&gt;Dash!$D$46, "Big", E211&lt;Dash!$D$49, "Small", E211&gt;Dash!$D$47, "Good"), "Norm")</f>
        <v>Good</v>
      </c>
      <c r="V211" t="s">
        <v>33</v>
      </c>
      <c r="W211">
        <v>262.25</v>
      </c>
      <c r="X211" t="s">
        <v>46</v>
      </c>
      <c r="Y211">
        <v>92.75</v>
      </c>
      <c r="Z211" t="str">
        <f>_xlfn.IFNA(_xlfn.IFS(Y211&gt;Dash!$E$46, "Big", Y211&lt;Dash!$E$49, "Small", Y211&gt;Dash!$E$47, "Good"), "Norm")</f>
        <v>Good</v>
      </c>
      <c r="AA211">
        <v>106.25</v>
      </c>
      <c r="AB211" t="str">
        <f>_xlfn.IFNA(_xlfn.IFS(AA211&gt;Dash!$F$46, "Big", AA211&lt;Dash!$F$49, "Small", AA211&gt;Dash!$F$47, "Good"), "Norm")</f>
        <v>Good</v>
      </c>
      <c r="AC211">
        <v>229</v>
      </c>
      <c r="AD211" t="str">
        <f>_xlfn.IFNA(_xlfn.IFS(AC211&gt;Dash!$G$46, "Big", AC211&lt;Dash!$G$49, "Small", AC211&gt;Dash!$G$47, "Good"), "Norm")</f>
        <v>Good</v>
      </c>
      <c r="AE211">
        <v>194</v>
      </c>
      <c r="AF211" t="str">
        <f>_xlfn.IFNA(_xlfn.IFS(AE211&gt;Dash!$H$46, "Big", AE211&lt;Dash!$H$49, "Small", AE211&gt;Dash!$H$47, "Good"), "Norm")</f>
        <v>Good</v>
      </c>
      <c r="AG211">
        <v>28.25</v>
      </c>
      <c r="AH211" t="str">
        <f>_xlfn.IFNA(_xlfn.IFS(AG211&gt;Dash!$I$46, "Big", AG211&lt;Dash!$I$49, "Small", AG211&gt;Dash!$I$47, "Good"), "Norm")</f>
        <v>Norm</v>
      </c>
    </row>
    <row r="212" spans="1:34" x14ac:dyDescent="0.25">
      <c r="A212" s="1">
        <v>45476</v>
      </c>
      <c r="B212" t="s">
        <v>18</v>
      </c>
      <c r="C212" t="s">
        <v>33</v>
      </c>
      <c r="D212" t="s">
        <v>28</v>
      </c>
      <c r="E212">
        <v>230.25</v>
      </c>
      <c r="F212">
        <v>200</v>
      </c>
      <c r="G212">
        <v>200</v>
      </c>
      <c r="J212" t="s">
        <v>30</v>
      </c>
      <c r="K212" t="s">
        <v>25</v>
      </c>
      <c r="L212" t="s">
        <v>32</v>
      </c>
      <c r="M212" t="s">
        <v>23</v>
      </c>
      <c r="N212">
        <v>10</v>
      </c>
      <c r="R212" t="s">
        <v>13</v>
      </c>
      <c r="S212" t="s">
        <v>28</v>
      </c>
      <c r="T212">
        <v>266.5</v>
      </c>
      <c r="U212" t="str">
        <f>_xlfn.IFNA(_xlfn.IFS(E212&gt;Dash!$D$46, "Big", E212&lt;Dash!$D$49, "Small", E212&gt;Dash!$D$47, "Good"), "Norm")</f>
        <v>Norm</v>
      </c>
      <c r="V212" t="s">
        <v>20</v>
      </c>
      <c r="W212">
        <v>332</v>
      </c>
      <c r="X212" t="s">
        <v>28</v>
      </c>
      <c r="Y212">
        <v>21.5</v>
      </c>
      <c r="Z212" t="str">
        <f>_xlfn.IFNA(_xlfn.IFS(Y212&gt;Dash!$E$46, "Big", Y212&lt;Dash!$E$49, "Small", Y212&gt;Dash!$E$47, "Good"), "Norm")</f>
        <v>Small</v>
      </c>
      <c r="AA212">
        <v>49.75</v>
      </c>
      <c r="AB212" t="str">
        <f>_xlfn.IFNA(_xlfn.IFS(AA212&gt;Dash!$F$46, "Big", AA212&lt;Dash!$F$49, "Small", AA212&gt;Dash!$F$47, "Good"), "Norm")</f>
        <v>Small</v>
      </c>
      <c r="AC212">
        <v>177.5</v>
      </c>
      <c r="AD212" t="str">
        <f>_xlfn.IFNA(_xlfn.IFS(AC212&gt;Dash!$G$46, "Big", AC212&lt;Dash!$G$49, "Small", AC212&gt;Dash!$G$47, "Good"), "Norm")</f>
        <v>Norm</v>
      </c>
      <c r="AE212">
        <v>65.5</v>
      </c>
      <c r="AF212" t="str">
        <f>_xlfn.IFNA(_xlfn.IFS(AE212&gt;Dash!$H$46, "Big", AE212&lt;Dash!$H$49, "Small", AE212&gt;Dash!$H$47, "Good"), "Norm")</f>
        <v>Small</v>
      </c>
      <c r="AG212" t="s">
        <v>180</v>
      </c>
      <c r="AH212" t="str">
        <f>_xlfn.IFNA(_xlfn.IFS(AG212&gt;Dash!$I$46, "Big", AG212&lt;Dash!$I$49, "Small", AG212&gt;Dash!$I$47, "Good"), "Norm")</f>
        <v>Big</v>
      </c>
    </row>
    <row r="213" spans="1:34" x14ac:dyDescent="0.25">
      <c r="A213" s="1">
        <v>45478</v>
      </c>
      <c r="B213" t="s">
        <v>26</v>
      </c>
      <c r="C213" t="s">
        <v>13</v>
      </c>
      <c r="D213" t="s">
        <v>28</v>
      </c>
      <c r="E213">
        <v>266.5</v>
      </c>
      <c r="F213">
        <v>200</v>
      </c>
      <c r="G213">
        <v>400</v>
      </c>
      <c r="J213" t="s">
        <v>30</v>
      </c>
      <c r="K213" t="s">
        <v>31</v>
      </c>
      <c r="L213" t="s">
        <v>32</v>
      </c>
      <c r="M213" t="s">
        <v>23</v>
      </c>
      <c r="N213">
        <v>10</v>
      </c>
      <c r="R213" t="s">
        <v>13</v>
      </c>
      <c r="S213" t="s">
        <v>28</v>
      </c>
      <c r="T213">
        <v>100</v>
      </c>
      <c r="U213" t="str">
        <f>_xlfn.IFNA(_xlfn.IFS(E213&gt;Dash!$D$46, "Big", E213&lt;Dash!$D$49, "Small", E213&gt;Dash!$D$47, "Good"), "Norm")</f>
        <v>Good</v>
      </c>
      <c r="V213" t="s">
        <v>33</v>
      </c>
      <c r="W213">
        <v>230.25</v>
      </c>
      <c r="X213" t="s">
        <v>28</v>
      </c>
      <c r="Y213">
        <v>71</v>
      </c>
      <c r="Z213" t="str">
        <f>_xlfn.IFNA(_xlfn.IFS(Y213&gt;Dash!$E$46, "Big", Y213&lt;Dash!$E$49, "Small", Y213&gt;Dash!$E$47, "Good"), "Norm")</f>
        <v>Norm</v>
      </c>
      <c r="AA213">
        <v>34.75</v>
      </c>
      <c r="AB213" t="str">
        <f>_xlfn.IFNA(_xlfn.IFS(AA213&gt;Dash!$F$46, "Big", AA213&lt;Dash!$F$49, "Small", AA213&gt;Dash!$F$47, "Good"), "Norm")</f>
        <v>Small</v>
      </c>
      <c r="AC213">
        <v>234</v>
      </c>
      <c r="AD213" t="str">
        <f>_xlfn.IFNA(_xlfn.IFS(AC213&gt;Dash!$G$46, "Big", AC213&lt;Dash!$G$49, "Small", AC213&gt;Dash!$G$47, "Good"), "Norm")</f>
        <v>Good</v>
      </c>
      <c r="AE213">
        <v>63.75</v>
      </c>
      <c r="AF213" t="str">
        <f>_xlfn.IFNA(_xlfn.IFS(AE213&gt;Dash!$H$46, "Big", AE213&lt;Dash!$H$49, "Small", AE213&gt;Dash!$H$47, "Good"), "Norm")</f>
        <v>Small</v>
      </c>
      <c r="AG213">
        <v>32</v>
      </c>
      <c r="AH213" t="str">
        <f>_xlfn.IFNA(_xlfn.IFS(AG213&gt;Dash!$I$46, "Big", AG213&lt;Dash!$I$49, "Small", AG213&gt;Dash!$I$47, "Good"), "Norm")</f>
        <v>Norm</v>
      </c>
    </row>
    <row r="214" spans="1:34" x14ac:dyDescent="0.25">
      <c r="A214" s="1">
        <v>45481</v>
      </c>
      <c r="B214" t="s">
        <v>23</v>
      </c>
      <c r="C214" t="s">
        <v>13</v>
      </c>
      <c r="D214" t="s">
        <v>28</v>
      </c>
      <c r="E214">
        <v>100</v>
      </c>
      <c r="F214">
        <v>900</v>
      </c>
      <c r="G214">
        <v>900</v>
      </c>
      <c r="J214" t="s">
        <v>27</v>
      </c>
      <c r="K214" t="s">
        <v>31</v>
      </c>
      <c r="L214" t="s">
        <v>32</v>
      </c>
      <c r="M214" t="s">
        <v>19</v>
      </c>
      <c r="N214">
        <v>9</v>
      </c>
      <c r="R214" t="s">
        <v>33</v>
      </c>
      <c r="S214" t="s">
        <v>43</v>
      </c>
      <c r="T214">
        <v>156</v>
      </c>
      <c r="U214" t="str">
        <f>_xlfn.IFNA(_xlfn.IFS(E214&gt;Dash!$D$46, "Big", E214&lt;Dash!$D$49, "Small", E214&gt;Dash!$D$47, "Good"), "Norm")</f>
        <v>Small</v>
      </c>
      <c r="V214" t="s">
        <v>13</v>
      </c>
      <c r="W214">
        <v>266.5</v>
      </c>
      <c r="X214" t="s">
        <v>28</v>
      </c>
      <c r="Y214">
        <v>38.75</v>
      </c>
      <c r="Z214" t="str">
        <f>_xlfn.IFNA(_xlfn.IFS(Y214&gt;Dash!$E$46, "Big", Y214&lt;Dash!$E$49, "Small", Y214&gt;Dash!$E$47, "Good"), "Norm")</f>
        <v>Small</v>
      </c>
      <c r="AA214">
        <v>48.25</v>
      </c>
      <c r="AB214" t="str">
        <f>_xlfn.IFNA(_xlfn.IFS(AA214&gt;Dash!$F$46, "Big", AA214&lt;Dash!$F$49, "Small", AA214&gt;Dash!$F$47, "Good"), "Norm")</f>
        <v>Small</v>
      </c>
      <c r="AC214">
        <v>82.75</v>
      </c>
      <c r="AD214" t="str">
        <f>_xlfn.IFNA(_xlfn.IFS(AC214&gt;Dash!$G$46, "Big", AC214&lt;Dash!$G$49, "Small", AC214&gt;Dash!$G$47, "Good"), "Norm")</f>
        <v>Small</v>
      </c>
      <c r="AE214">
        <v>79</v>
      </c>
      <c r="AF214" t="str">
        <f>_xlfn.IFNA(_xlfn.IFS(AE214&gt;Dash!$H$46, "Big", AE214&lt;Dash!$H$49, "Small", AE214&gt;Dash!$H$47, "Good"), "Norm")</f>
        <v>Small</v>
      </c>
      <c r="AG214">
        <v>31.25</v>
      </c>
      <c r="AH214" t="str">
        <f>_xlfn.IFNA(_xlfn.IFS(AG214&gt;Dash!$I$46, "Big", AG214&lt;Dash!$I$49, "Small", AG214&gt;Dash!$I$47, "Good"), "Norm")</f>
        <v>Norm</v>
      </c>
    </row>
    <row r="215" spans="1:34" x14ac:dyDescent="0.25">
      <c r="A215" s="1">
        <v>45482</v>
      </c>
      <c r="B215" t="s">
        <v>19</v>
      </c>
      <c r="C215" t="s">
        <v>33</v>
      </c>
      <c r="D215" t="s">
        <v>43</v>
      </c>
      <c r="E215">
        <v>156</v>
      </c>
      <c r="F215">
        <v>1800</v>
      </c>
      <c r="G215">
        <v>1800</v>
      </c>
      <c r="J215" t="s">
        <v>29</v>
      </c>
      <c r="K215" t="s">
        <v>35</v>
      </c>
      <c r="L215" t="s">
        <v>17</v>
      </c>
      <c r="M215" t="s">
        <v>19</v>
      </c>
      <c r="N215">
        <v>9</v>
      </c>
      <c r="R215" t="s">
        <v>13</v>
      </c>
      <c r="S215" t="s">
        <v>28</v>
      </c>
      <c r="T215">
        <v>213.75</v>
      </c>
      <c r="U215" t="str">
        <f>_xlfn.IFNA(_xlfn.IFS(E215&gt;Dash!$D$46, "Big", E215&lt;Dash!$D$49, "Small", E215&gt;Dash!$D$47, "Good"), "Norm")</f>
        <v>Small</v>
      </c>
      <c r="V215" t="s">
        <v>13</v>
      </c>
      <c r="W215">
        <v>100</v>
      </c>
      <c r="X215" t="s">
        <v>28</v>
      </c>
      <c r="Y215">
        <v>76.25</v>
      </c>
      <c r="Z215" t="str">
        <f>_xlfn.IFNA(_xlfn.IFS(Y215&gt;Dash!$E$46, "Big", Y215&lt;Dash!$E$49, "Small", Y215&gt;Dash!$E$47, "Good"), "Norm")</f>
        <v>Norm</v>
      </c>
      <c r="AA215">
        <v>35.5</v>
      </c>
      <c r="AB215" t="str">
        <f>_xlfn.IFNA(_xlfn.IFS(AA215&gt;Dash!$F$46, "Big", AA215&lt;Dash!$F$49, "Small", AA215&gt;Dash!$F$47, "Good"), "Norm")</f>
        <v>Small</v>
      </c>
      <c r="AC215">
        <v>101.5</v>
      </c>
      <c r="AD215" t="str">
        <f>_xlfn.IFNA(_xlfn.IFS(AC215&gt;Dash!$G$46, "Big", AC215&lt;Dash!$G$49, "Small", AC215&gt;Dash!$G$47, "Good"), "Norm")</f>
        <v>Small</v>
      </c>
      <c r="AE215">
        <v>101.25</v>
      </c>
      <c r="AF215" t="str">
        <f>_xlfn.IFNA(_xlfn.IFS(AE215&gt;Dash!$H$46, "Big", AE215&lt;Dash!$H$49, "Small", AE215&gt;Dash!$H$47, "Good"), "Norm")</f>
        <v>Norm</v>
      </c>
      <c r="AG215">
        <v>17.75</v>
      </c>
      <c r="AH215" t="str">
        <f>_xlfn.IFNA(_xlfn.IFS(AG215&gt;Dash!$I$46, "Big", AG215&lt;Dash!$I$49, "Small", AG215&gt;Dash!$I$47, "Good"), "Norm")</f>
        <v>Small</v>
      </c>
    </row>
    <row r="216" spans="1:34" x14ac:dyDescent="0.25">
      <c r="A216" s="1">
        <v>45483</v>
      </c>
      <c r="B216" t="s">
        <v>18</v>
      </c>
      <c r="C216" t="s">
        <v>13</v>
      </c>
      <c r="D216" t="s">
        <v>28</v>
      </c>
      <c r="E216">
        <v>213.75</v>
      </c>
      <c r="F216">
        <v>900</v>
      </c>
      <c r="G216">
        <v>900</v>
      </c>
      <c r="J216" t="s">
        <v>27</v>
      </c>
      <c r="K216" t="s">
        <v>31</v>
      </c>
      <c r="L216" t="s">
        <v>32</v>
      </c>
      <c r="M216" t="s">
        <v>19</v>
      </c>
      <c r="N216">
        <v>9</v>
      </c>
      <c r="R216" t="s">
        <v>33</v>
      </c>
      <c r="S216" t="s">
        <v>48</v>
      </c>
      <c r="T216">
        <v>606.5</v>
      </c>
      <c r="U216" t="str">
        <f>_xlfn.IFNA(_xlfn.IFS(E216&gt;Dash!$D$46, "Big", E216&lt;Dash!$D$49, "Small", E216&gt;Dash!$D$47, "Good"), "Norm")</f>
        <v>Norm</v>
      </c>
      <c r="V216" t="s">
        <v>33</v>
      </c>
      <c r="W216">
        <v>156</v>
      </c>
      <c r="X216" t="s">
        <v>43</v>
      </c>
      <c r="Y216">
        <v>32.75</v>
      </c>
      <c r="Z216" t="str">
        <f>_xlfn.IFNA(_xlfn.IFS(Y216&gt;Dash!$E$46, "Big", Y216&lt;Dash!$E$49, "Small", Y216&gt;Dash!$E$47, "Good"), "Norm")</f>
        <v>Small</v>
      </c>
      <c r="AA216">
        <v>63</v>
      </c>
      <c r="AB216" t="str">
        <f>_xlfn.IFNA(_xlfn.IFS(AA216&gt;Dash!$F$46, "Big", AA216&lt;Dash!$F$49, "Small", AA216&gt;Dash!$F$47, "Good"), "Norm")</f>
        <v>Norm</v>
      </c>
      <c r="AC216">
        <v>93.5</v>
      </c>
      <c r="AD216" t="str">
        <f>_xlfn.IFNA(_xlfn.IFS(AC216&gt;Dash!$G$46, "Big", AC216&lt;Dash!$G$49, "Small", AC216&gt;Dash!$G$47, "Good"), "Norm")</f>
        <v>Small</v>
      </c>
      <c r="AE216">
        <v>156.5</v>
      </c>
      <c r="AF216" t="str">
        <f>_xlfn.IFNA(_xlfn.IFS(AE216&gt;Dash!$H$46, "Big", AE216&lt;Dash!$H$49, "Small", AE216&gt;Dash!$H$47, "Good"), "Norm")</f>
        <v>Good</v>
      </c>
      <c r="AG216">
        <v>19.25</v>
      </c>
      <c r="AH216" t="str">
        <f>_xlfn.IFNA(_xlfn.IFS(AG216&gt;Dash!$I$46, "Big", AG216&lt;Dash!$I$49, "Small", AG216&gt;Dash!$I$47, "Good"), "Norm")</f>
        <v>Small</v>
      </c>
    </row>
    <row r="217" spans="1:34" x14ac:dyDescent="0.25">
      <c r="A217" s="1">
        <v>45484</v>
      </c>
      <c r="B217" t="s">
        <v>36</v>
      </c>
      <c r="C217" t="s">
        <v>33</v>
      </c>
      <c r="D217" t="s">
        <v>48</v>
      </c>
      <c r="E217">
        <v>606.5</v>
      </c>
      <c r="F217">
        <v>800</v>
      </c>
      <c r="G217">
        <v>800</v>
      </c>
      <c r="H217">
        <v>1000</v>
      </c>
      <c r="J217" t="s">
        <v>27</v>
      </c>
      <c r="K217" t="s">
        <v>35</v>
      </c>
      <c r="L217" t="s">
        <v>17</v>
      </c>
      <c r="M217" t="s">
        <v>19</v>
      </c>
      <c r="N217">
        <v>9</v>
      </c>
      <c r="R217" t="s">
        <v>33</v>
      </c>
      <c r="S217" t="s">
        <v>46</v>
      </c>
      <c r="T217">
        <v>406</v>
      </c>
      <c r="U217" t="str">
        <f>_xlfn.IFNA(_xlfn.IFS(E217&gt;Dash!$D$46, "Big", E217&lt;Dash!$D$49, "Small", E217&gt;Dash!$D$47, "Good"), "Norm")</f>
        <v>Big</v>
      </c>
      <c r="V217" t="s">
        <v>13</v>
      </c>
      <c r="W217">
        <v>213.75</v>
      </c>
      <c r="X217" t="s">
        <v>28</v>
      </c>
      <c r="Y217">
        <v>45.75</v>
      </c>
      <c r="Z217" t="str">
        <f>_xlfn.IFNA(_xlfn.IFS(Y217&gt;Dash!$E$46, "Big", Y217&lt;Dash!$E$49, "Small", Y217&gt;Dash!$E$47, "Good"), "Norm")</f>
        <v>Norm</v>
      </c>
      <c r="AA217">
        <v>23.75</v>
      </c>
      <c r="AB217" t="str">
        <f>_xlfn.IFNA(_xlfn.IFS(AA217&gt;Dash!$F$46, "Big", AA217&lt;Dash!$F$49, "Small", AA217&gt;Dash!$F$47, "Good"), "Norm")</f>
        <v>Small</v>
      </c>
      <c r="AC217">
        <v>508</v>
      </c>
      <c r="AD217" t="str">
        <f>_xlfn.IFNA(_xlfn.IFS(AC217&gt;Dash!$G$46, "Big", AC217&lt;Dash!$G$49, "Small", AC217&gt;Dash!$G$47, "Good"), "Norm")</f>
        <v>Big</v>
      </c>
      <c r="AE217">
        <v>162</v>
      </c>
      <c r="AF217" t="str">
        <f>_xlfn.IFNA(_xlfn.IFS(AE217&gt;Dash!$H$46, "Big", AE217&lt;Dash!$H$49, "Small", AE217&gt;Dash!$H$47, "Good"), "Norm")</f>
        <v>Good</v>
      </c>
      <c r="AG217">
        <v>53.25</v>
      </c>
      <c r="AH217" t="str">
        <f>_xlfn.IFNA(_xlfn.IFS(AG217&gt;Dash!$I$46, "Big", AG217&lt;Dash!$I$49, "Small", AG217&gt;Dash!$I$47, "Good"), "Norm")</f>
        <v>Good</v>
      </c>
    </row>
    <row r="218" spans="1:34" x14ac:dyDescent="0.25">
      <c r="A218" s="1">
        <v>45485</v>
      </c>
      <c r="B218" t="s">
        <v>26</v>
      </c>
      <c r="C218" t="s">
        <v>33</v>
      </c>
      <c r="D218" t="s">
        <v>46</v>
      </c>
      <c r="E218">
        <v>406</v>
      </c>
      <c r="F218">
        <v>100</v>
      </c>
      <c r="G218">
        <v>100</v>
      </c>
      <c r="J218" t="s">
        <v>37</v>
      </c>
      <c r="K218" t="s">
        <v>25</v>
      </c>
      <c r="L218" t="s">
        <v>32</v>
      </c>
      <c r="M218" t="s">
        <v>19</v>
      </c>
      <c r="N218">
        <v>9</v>
      </c>
      <c r="R218" t="s">
        <v>33</v>
      </c>
      <c r="S218" t="s">
        <v>43</v>
      </c>
      <c r="T218">
        <v>290.75</v>
      </c>
      <c r="U218" t="str">
        <f>_xlfn.IFNA(_xlfn.IFS(E218&gt;Dash!$D$46, "Big", E218&lt;Dash!$D$49, "Small", E218&gt;Dash!$D$47, "Good"), "Norm")</f>
        <v>Big</v>
      </c>
      <c r="V218" t="s">
        <v>33</v>
      </c>
      <c r="W218">
        <v>606.5</v>
      </c>
      <c r="X218" t="s">
        <v>48</v>
      </c>
      <c r="Y218">
        <v>87</v>
      </c>
      <c r="Z218" t="str">
        <f>_xlfn.IFNA(_xlfn.IFS(Y218&gt;Dash!$E$46, "Big", Y218&lt;Dash!$E$49, "Small", Y218&gt;Dash!$E$47, "Good"), "Norm")</f>
        <v>Good</v>
      </c>
      <c r="AA218">
        <v>67.5</v>
      </c>
      <c r="AB218" t="str">
        <f>_xlfn.IFNA(_xlfn.IFS(AA218&gt;Dash!$F$46, "Big", AA218&lt;Dash!$F$49, "Small", AA218&gt;Dash!$F$47, "Good"), "Norm")</f>
        <v>Norm</v>
      </c>
      <c r="AC218">
        <v>331.75</v>
      </c>
      <c r="AD218" t="str">
        <f>_xlfn.IFNA(_xlfn.IFS(AC218&gt;Dash!$G$46, "Big", AC218&lt;Dash!$G$49, "Small", AC218&gt;Dash!$G$47, "Good"), "Norm")</f>
        <v>Big</v>
      </c>
      <c r="AE218">
        <v>230.75</v>
      </c>
      <c r="AF218" t="str">
        <f>_xlfn.IFNA(_xlfn.IFS(AE218&gt;Dash!$H$46, "Big", AE218&lt;Dash!$H$49, "Small", AE218&gt;Dash!$H$47, "Good"), "Norm")</f>
        <v>Good</v>
      </c>
      <c r="AG218">
        <v>36.5</v>
      </c>
      <c r="AH218" t="str">
        <f>_xlfn.IFNA(_xlfn.IFS(AG218&gt;Dash!$I$46, "Big", AG218&lt;Dash!$I$49, "Small", AG218&gt;Dash!$I$47, "Good"), "Norm")</f>
        <v>Norm</v>
      </c>
    </row>
    <row r="219" spans="1:34" x14ac:dyDescent="0.25">
      <c r="A219" s="1">
        <v>45488</v>
      </c>
      <c r="B219" t="s">
        <v>23</v>
      </c>
      <c r="C219" t="s">
        <v>33</v>
      </c>
      <c r="D219" t="s">
        <v>43</v>
      </c>
      <c r="E219">
        <v>290.75</v>
      </c>
      <c r="F219">
        <v>1100</v>
      </c>
      <c r="G219">
        <v>1100</v>
      </c>
      <c r="J219" t="s">
        <v>27</v>
      </c>
      <c r="K219" t="s">
        <v>35</v>
      </c>
      <c r="L219" t="s">
        <v>17</v>
      </c>
      <c r="M219" t="s">
        <v>23</v>
      </c>
      <c r="N219">
        <v>5</v>
      </c>
      <c r="R219" t="s">
        <v>33</v>
      </c>
      <c r="S219" t="s">
        <v>46</v>
      </c>
      <c r="T219">
        <v>220</v>
      </c>
      <c r="U219" t="str">
        <f>_xlfn.IFNA(_xlfn.IFS(E219&gt;Dash!$D$46, "Big", E219&lt;Dash!$D$49, "Small", E219&gt;Dash!$D$47, "Good"), "Norm")</f>
        <v>Good</v>
      </c>
      <c r="V219" t="s">
        <v>33</v>
      </c>
      <c r="W219">
        <v>406</v>
      </c>
      <c r="X219" t="s">
        <v>46</v>
      </c>
      <c r="Y219">
        <v>105.5</v>
      </c>
      <c r="Z219" t="str">
        <f>_xlfn.IFNA(_xlfn.IFS(Y219&gt;Dash!$E$46, "Big", Y219&lt;Dash!$E$49, "Small", Y219&gt;Dash!$E$47, "Good"), "Norm")</f>
        <v>Good</v>
      </c>
      <c r="AA219">
        <v>55.5</v>
      </c>
      <c r="AB219" t="str">
        <f>_xlfn.IFNA(_xlfn.IFS(AA219&gt;Dash!$F$46, "Big", AA219&lt;Dash!$F$49, "Small", AA219&gt;Dash!$F$47, "Good"), "Norm")</f>
        <v>Small</v>
      </c>
      <c r="AC219">
        <v>215.25</v>
      </c>
      <c r="AD219" t="str">
        <f>_xlfn.IFNA(_xlfn.IFS(AC219&gt;Dash!$G$46, "Big", AC219&lt;Dash!$G$49, "Small", AC219&gt;Dash!$G$47, "Good"), "Norm")</f>
        <v>Good</v>
      </c>
      <c r="AE219">
        <v>198.5</v>
      </c>
      <c r="AF219" t="str">
        <f>_xlfn.IFNA(_xlfn.IFS(AE219&gt;Dash!$H$46, "Big", AE219&lt;Dash!$H$49, "Small", AE219&gt;Dash!$H$47, "Good"), "Norm")</f>
        <v>Good</v>
      </c>
      <c r="AG219">
        <v>46.25</v>
      </c>
      <c r="AH219" t="str">
        <f>_xlfn.IFNA(_xlfn.IFS(AG219&gt;Dash!$I$46, "Big", AG219&lt;Dash!$I$49, "Small", AG219&gt;Dash!$I$47, "Good"), "Norm")</f>
        <v>Good</v>
      </c>
    </row>
    <row r="220" spans="1:34" x14ac:dyDescent="0.25">
      <c r="A220" s="1">
        <v>45489</v>
      </c>
      <c r="B220" t="s">
        <v>19</v>
      </c>
      <c r="C220" t="s">
        <v>33</v>
      </c>
      <c r="D220" t="s">
        <v>46</v>
      </c>
      <c r="E220">
        <v>220</v>
      </c>
      <c r="F220">
        <v>1000</v>
      </c>
      <c r="G220">
        <v>1000</v>
      </c>
      <c r="J220" t="s">
        <v>45</v>
      </c>
      <c r="K220" t="s">
        <v>35</v>
      </c>
      <c r="L220" t="s">
        <v>17</v>
      </c>
      <c r="M220" t="s">
        <v>23</v>
      </c>
      <c r="N220">
        <v>5</v>
      </c>
      <c r="R220" t="s">
        <v>13</v>
      </c>
      <c r="S220" t="s">
        <v>14</v>
      </c>
      <c r="T220">
        <v>332.5</v>
      </c>
      <c r="U220" t="str">
        <f>_xlfn.IFNA(_xlfn.IFS(E220&gt;Dash!$D$46, "Big", E220&lt;Dash!$D$49, "Small", E220&gt;Dash!$D$47, "Good"), "Norm")</f>
        <v>Norm</v>
      </c>
      <c r="V220" t="s">
        <v>33</v>
      </c>
      <c r="W220">
        <v>290.75</v>
      </c>
      <c r="X220" t="s">
        <v>43</v>
      </c>
      <c r="Y220">
        <v>36</v>
      </c>
      <c r="Z220" t="str">
        <f>_xlfn.IFNA(_xlfn.IFS(Y220&gt;Dash!$E$46, "Big", Y220&lt;Dash!$E$49, "Small", Y220&gt;Dash!$E$47, "Good"), "Norm")</f>
        <v>Small</v>
      </c>
      <c r="AA220">
        <v>99.75</v>
      </c>
      <c r="AB220" t="str">
        <f>_xlfn.IFNA(_xlfn.IFS(AA220&gt;Dash!$F$46, "Big", AA220&lt;Dash!$F$49, "Small", AA220&gt;Dash!$F$47, "Good"), "Norm")</f>
        <v>Good</v>
      </c>
      <c r="AC220">
        <v>199</v>
      </c>
      <c r="AD220" t="str">
        <f>_xlfn.IFNA(_xlfn.IFS(AC220&gt;Dash!$G$46, "Big", AC220&lt;Dash!$G$49, "Small", AC220&gt;Dash!$G$47, "Good"), "Norm")</f>
        <v>Norm</v>
      </c>
      <c r="AE220">
        <v>149.75</v>
      </c>
      <c r="AF220" t="str">
        <f>_xlfn.IFNA(_xlfn.IFS(AE220&gt;Dash!$H$46, "Big", AE220&lt;Dash!$H$49, "Small", AE220&gt;Dash!$H$47, "Good"), "Norm")</f>
        <v>Norm</v>
      </c>
      <c r="AG220">
        <v>22</v>
      </c>
      <c r="AH220" t="str">
        <f>_xlfn.IFNA(_xlfn.IFS(AG220&gt;Dash!$I$46, "Big", AG220&lt;Dash!$I$49, "Small", AG220&gt;Dash!$I$47, "Good"), "Norm")</f>
        <v>Norm</v>
      </c>
    </row>
    <row r="221" spans="1:34" x14ac:dyDescent="0.25">
      <c r="A221" s="1">
        <v>45490</v>
      </c>
      <c r="B221" t="s">
        <v>18</v>
      </c>
      <c r="C221" t="s">
        <v>13</v>
      </c>
      <c r="D221" t="s">
        <v>14</v>
      </c>
      <c r="E221">
        <v>332.5</v>
      </c>
      <c r="F221">
        <v>200</v>
      </c>
      <c r="J221" t="s">
        <v>15</v>
      </c>
      <c r="K221" t="s">
        <v>16</v>
      </c>
      <c r="L221" t="s">
        <v>17</v>
      </c>
      <c r="M221" t="s">
        <v>23</v>
      </c>
      <c r="N221">
        <v>5</v>
      </c>
      <c r="R221" t="s">
        <v>20</v>
      </c>
      <c r="S221" t="s">
        <v>14</v>
      </c>
      <c r="T221">
        <v>403.75</v>
      </c>
      <c r="U221" t="str">
        <f>_xlfn.IFNA(_xlfn.IFS(E221&gt;Dash!$D$46, "Big", E221&lt;Dash!$D$49, "Small", E221&gt;Dash!$D$47, "Good"), "Norm")</f>
        <v>Good</v>
      </c>
      <c r="V221" t="s">
        <v>33</v>
      </c>
      <c r="W221">
        <v>220</v>
      </c>
      <c r="X221" t="s">
        <v>46</v>
      </c>
      <c r="Y221">
        <v>90.5</v>
      </c>
      <c r="Z221" t="str">
        <f>_xlfn.IFNA(_xlfn.IFS(Y221&gt;Dash!$E$46, "Big", Y221&lt;Dash!$E$49, "Small", Y221&gt;Dash!$E$47, "Good"), "Norm")</f>
        <v>Good</v>
      </c>
      <c r="AA221">
        <v>253.5</v>
      </c>
      <c r="AB221" t="str">
        <f>_xlfn.IFNA(_xlfn.IFS(AA221&gt;Dash!$F$46, "Big", AA221&lt;Dash!$F$49, "Small", AA221&gt;Dash!$F$47, "Good"), "Norm")</f>
        <v>Big</v>
      </c>
      <c r="AC221">
        <v>267.25</v>
      </c>
      <c r="AD221" t="str">
        <f>_xlfn.IFNA(_xlfn.IFS(AC221&gt;Dash!$G$46, "Big", AC221&lt;Dash!$G$49, "Small", AC221&gt;Dash!$G$47, "Good"), "Norm")</f>
        <v>Good</v>
      </c>
      <c r="AE221">
        <v>101.5</v>
      </c>
      <c r="AF221" t="str">
        <f>_xlfn.IFNA(_xlfn.IFS(AE221&gt;Dash!$H$46, "Big", AE221&lt;Dash!$H$49, "Small", AE221&gt;Dash!$H$47, "Good"), "Norm")</f>
        <v>Norm</v>
      </c>
      <c r="AG221">
        <v>59</v>
      </c>
      <c r="AH221" t="str">
        <f>_xlfn.IFNA(_xlfn.IFS(AG221&gt;Dash!$I$46, "Big", AG221&lt;Dash!$I$49, "Small", AG221&gt;Dash!$I$47, "Good"), "Norm")</f>
        <v>Good</v>
      </c>
    </row>
    <row r="222" spans="1:34" x14ac:dyDescent="0.25">
      <c r="A222" s="1">
        <v>45491</v>
      </c>
      <c r="B222" t="s">
        <v>36</v>
      </c>
      <c r="C222" t="s">
        <v>20</v>
      </c>
      <c r="D222" t="s">
        <v>14</v>
      </c>
      <c r="E222">
        <v>403.75</v>
      </c>
      <c r="F222">
        <v>1000</v>
      </c>
      <c r="G222">
        <v>1000</v>
      </c>
      <c r="J222" t="s">
        <v>45</v>
      </c>
      <c r="K222" t="s">
        <v>22</v>
      </c>
      <c r="L222" t="s">
        <v>17</v>
      </c>
      <c r="M222" t="s">
        <v>23</v>
      </c>
      <c r="N222">
        <v>5</v>
      </c>
      <c r="O222" t="s">
        <v>62</v>
      </c>
      <c r="R222" t="s">
        <v>20</v>
      </c>
      <c r="S222" t="s">
        <v>14</v>
      </c>
      <c r="T222">
        <v>322.5</v>
      </c>
      <c r="U222" t="str">
        <f>_xlfn.IFNA(_xlfn.IFS(E222&gt;Dash!$D$46, "Big", E222&lt;Dash!$D$49, "Small", E222&gt;Dash!$D$47, "Good"), "Norm")</f>
        <v>Big</v>
      </c>
      <c r="V222" t="s">
        <v>13</v>
      </c>
      <c r="W222">
        <v>332.5</v>
      </c>
      <c r="X222" t="s">
        <v>14</v>
      </c>
      <c r="Y222">
        <v>55.75</v>
      </c>
      <c r="Z222" t="str">
        <f>_xlfn.IFNA(_xlfn.IFS(Y222&gt;Dash!$E$46, "Big", Y222&lt;Dash!$E$49, "Small", Y222&gt;Dash!$E$47, "Good"), "Norm")</f>
        <v>Norm</v>
      </c>
      <c r="AA222">
        <v>144</v>
      </c>
      <c r="AB222" t="str">
        <f>_xlfn.IFNA(_xlfn.IFS(AA222&gt;Dash!$F$46, "Big", AA222&lt;Dash!$F$49, "Small", AA222&gt;Dash!$F$47, "Good"), "Norm")</f>
        <v>Good</v>
      </c>
      <c r="AC222">
        <v>377.5</v>
      </c>
      <c r="AD222" t="str">
        <f>_xlfn.IFNA(_xlfn.IFS(AC222&gt;Dash!$G$46, "Big", AC222&lt;Dash!$G$49, "Small", AC222&gt;Dash!$G$47, "Good"), "Norm")</f>
        <v>Big</v>
      </c>
      <c r="AE222">
        <v>202.25</v>
      </c>
      <c r="AF222" t="str">
        <f>_xlfn.IFNA(_xlfn.IFS(AE222&gt;Dash!$H$46, "Big", AE222&lt;Dash!$H$49, "Small", AE222&gt;Dash!$H$47, "Good"), "Norm")</f>
        <v>Good</v>
      </c>
      <c r="AG222">
        <v>88.5</v>
      </c>
      <c r="AH222" t="str">
        <f>_xlfn.IFNA(_xlfn.IFS(AG222&gt;Dash!$I$46, "Big", AG222&lt;Dash!$I$49, "Small", AG222&gt;Dash!$I$47, "Good"), "Norm")</f>
        <v>Big</v>
      </c>
    </row>
    <row r="223" spans="1:34" x14ac:dyDescent="0.25">
      <c r="A223" s="1">
        <v>45492</v>
      </c>
      <c r="B223" t="s">
        <v>26</v>
      </c>
      <c r="C223" t="s">
        <v>20</v>
      </c>
      <c r="D223" t="s">
        <v>14</v>
      </c>
      <c r="E223">
        <v>322.5</v>
      </c>
      <c r="F223">
        <v>300</v>
      </c>
      <c r="G223">
        <v>300</v>
      </c>
      <c r="J223" t="s">
        <v>15</v>
      </c>
      <c r="K223" t="s">
        <v>22</v>
      </c>
      <c r="L223" t="s">
        <v>17</v>
      </c>
      <c r="M223" t="s">
        <v>23</v>
      </c>
      <c r="N223">
        <v>5</v>
      </c>
      <c r="O223" t="s">
        <v>61</v>
      </c>
      <c r="R223" t="s">
        <v>13</v>
      </c>
      <c r="S223" t="s">
        <v>28</v>
      </c>
      <c r="T223">
        <v>235</v>
      </c>
      <c r="U223" t="str">
        <f>_xlfn.IFNA(_xlfn.IFS(E223&gt;Dash!$D$46, "Big", E223&lt;Dash!$D$49, "Small", E223&gt;Dash!$D$47, "Good"), "Norm")</f>
        <v>Good</v>
      </c>
      <c r="V223" t="s">
        <v>20</v>
      </c>
      <c r="W223">
        <v>403.75</v>
      </c>
      <c r="X223" t="s">
        <v>14</v>
      </c>
      <c r="Y223">
        <v>41.5</v>
      </c>
      <c r="Z223" t="str">
        <f>_xlfn.IFNA(_xlfn.IFS(Y223&gt;Dash!$E$46, "Big", Y223&lt;Dash!$E$49, "Small", Y223&gt;Dash!$E$47, "Good"), "Norm")</f>
        <v>Norm</v>
      </c>
      <c r="AA223">
        <v>226.25</v>
      </c>
      <c r="AB223" t="str">
        <f>_xlfn.IFNA(_xlfn.IFS(AA223&gt;Dash!$F$46, "Big", AA223&lt;Dash!$F$49, "Small", AA223&gt;Dash!$F$47, "Good"), "Norm")</f>
        <v>Big</v>
      </c>
      <c r="AC223">
        <v>272.5</v>
      </c>
      <c r="AD223" t="str">
        <f>_xlfn.IFNA(_xlfn.IFS(AC223&gt;Dash!$G$46, "Big", AC223&lt;Dash!$G$49, "Small", AC223&gt;Dash!$G$47, "Good"), "Norm")</f>
        <v>Good</v>
      </c>
      <c r="AE223">
        <v>172.25</v>
      </c>
      <c r="AF223" t="str">
        <f>_xlfn.IFNA(_xlfn.IFS(AE223&gt;Dash!$H$46, "Big", AE223&lt;Dash!$H$49, "Small", AE223&gt;Dash!$H$47, "Good"), "Norm")</f>
        <v>Good</v>
      </c>
      <c r="AG223">
        <v>45.5</v>
      </c>
      <c r="AH223" t="str">
        <f>_xlfn.IFNA(_xlfn.IFS(AG223&gt;Dash!$I$46, "Big", AG223&lt;Dash!$I$49, "Small", AG223&gt;Dash!$I$47, "Good"), "Norm")</f>
        <v>Good</v>
      </c>
    </row>
    <row r="224" spans="1:34" x14ac:dyDescent="0.25">
      <c r="A224" s="1">
        <v>45495</v>
      </c>
      <c r="B224" t="s">
        <v>23</v>
      </c>
      <c r="C224" t="s">
        <v>13</v>
      </c>
      <c r="D224" t="s">
        <v>28</v>
      </c>
      <c r="E224">
        <v>235</v>
      </c>
      <c r="F224">
        <v>900</v>
      </c>
      <c r="G224">
        <v>900</v>
      </c>
      <c r="J224" t="s">
        <v>27</v>
      </c>
      <c r="K224" t="s">
        <v>31</v>
      </c>
      <c r="L224" t="s">
        <v>32</v>
      </c>
      <c r="M224" t="s">
        <v>18</v>
      </c>
      <c r="N224">
        <v>5</v>
      </c>
      <c r="R224" t="s">
        <v>41</v>
      </c>
      <c r="S224" t="s">
        <v>43</v>
      </c>
      <c r="T224">
        <v>180.75</v>
      </c>
      <c r="U224" t="str">
        <f>_xlfn.IFNA(_xlfn.IFS(E224&gt;Dash!$D$46, "Big", E224&lt;Dash!$D$49, "Small", E224&gt;Dash!$D$47, "Good"), "Norm")</f>
        <v>Norm</v>
      </c>
      <c r="V224" t="s">
        <v>20</v>
      </c>
      <c r="W224">
        <v>322.5</v>
      </c>
      <c r="X224" t="s">
        <v>14</v>
      </c>
      <c r="Y224">
        <v>123.25</v>
      </c>
      <c r="Z224" t="str">
        <f>_xlfn.IFNA(_xlfn.IFS(Y224&gt;Dash!$E$46, "Big", Y224&lt;Dash!$E$49, "Small", Y224&gt;Dash!$E$47, "Good"), "Norm")</f>
        <v>Good</v>
      </c>
      <c r="AA224">
        <v>141.25</v>
      </c>
      <c r="AB224" t="str">
        <f>_xlfn.IFNA(_xlfn.IFS(AA224&gt;Dash!$F$46, "Big", AA224&lt;Dash!$F$49, "Small", AA224&gt;Dash!$F$47, "Good"), "Norm")</f>
        <v>Good</v>
      </c>
      <c r="AC224">
        <v>217</v>
      </c>
      <c r="AD224" t="str">
        <f>_xlfn.IFNA(_xlfn.IFS(AC224&gt;Dash!$G$46, "Big", AC224&lt;Dash!$G$49, "Small", AC224&gt;Dash!$G$47, "Good"), "Norm")</f>
        <v>Good</v>
      </c>
      <c r="AE224">
        <v>209.25</v>
      </c>
      <c r="AF224" t="str">
        <f>_xlfn.IFNA(_xlfn.IFS(AE224&gt;Dash!$H$46, "Big", AE224&lt;Dash!$H$49, "Small", AE224&gt;Dash!$H$47, "Good"), "Norm")</f>
        <v>Good</v>
      </c>
      <c r="AG224">
        <v>48.25</v>
      </c>
      <c r="AH224" t="str">
        <f>_xlfn.IFNA(_xlfn.IFS(AG224&gt;Dash!$I$46, "Big", AG224&lt;Dash!$I$49, "Small", AG224&gt;Dash!$I$47, "Good"), "Norm")</f>
        <v>Good</v>
      </c>
    </row>
    <row r="225" spans="1:34" x14ac:dyDescent="0.25">
      <c r="A225" s="1">
        <v>45496</v>
      </c>
      <c r="B225" t="s">
        <v>19</v>
      </c>
      <c r="C225" t="s">
        <v>41</v>
      </c>
      <c r="D225" t="s">
        <v>43</v>
      </c>
      <c r="E225">
        <v>180.75</v>
      </c>
      <c r="F225">
        <v>1000</v>
      </c>
      <c r="G225">
        <v>1000</v>
      </c>
      <c r="J225" t="s">
        <v>27</v>
      </c>
      <c r="K225" t="s">
        <v>39</v>
      </c>
      <c r="L225" t="s">
        <v>35</v>
      </c>
      <c r="M225" t="s">
        <v>18</v>
      </c>
      <c r="N225">
        <v>5</v>
      </c>
      <c r="O225" t="s">
        <v>71</v>
      </c>
      <c r="R225" t="s">
        <v>13</v>
      </c>
      <c r="S225" t="s">
        <v>47</v>
      </c>
      <c r="T225">
        <v>536.25</v>
      </c>
      <c r="U225" t="str">
        <f>_xlfn.IFNA(_xlfn.IFS(E225&gt;Dash!$D$46, "Big", E225&lt;Dash!$D$49, "Small", E225&gt;Dash!$D$47, "Good"), "Norm")</f>
        <v>Norm</v>
      </c>
      <c r="V225" t="s">
        <v>13</v>
      </c>
      <c r="W225">
        <v>235</v>
      </c>
      <c r="X225" t="s">
        <v>28</v>
      </c>
      <c r="Y225">
        <v>86.75</v>
      </c>
      <c r="Z225" t="str">
        <f>_xlfn.IFNA(_xlfn.IFS(Y225&gt;Dash!$E$46, "Big", Y225&lt;Dash!$E$49, "Small", Y225&gt;Dash!$E$47, "Good"), "Norm")</f>
        <v>Good</v>
      </c>
      <c r="AA225">
        <v>147.25</v>
      </c>
      <c r="AB225" t="str">
        <f>_xlfn.IFNA(_xlfn.IFS(AA225&gt;Dash!$F$46, "Big", AA225&lt;Dash!$F$49, "Small", AA225&gt;Dash!$F$47, "Good"), "Norm")</f>
        <v>Good</v>
      </c>
      <c r="AC225">
        <v>161</v>
      </c>
      <c r="AD225" t="str">
        <f>_xlfn.IFNA(_xlfn.IFS(AC225&gt;Dash!$G$46, "Big", AC225&lt;Dash!$G$49, "Small", AC225&gt;Dash!$G$47, "Good"), "Norm")</f>
        <v>Norm</v>
      </c>
      <c r="AE225">
        <v>136.75</v>
      </c>
      <c r="AF225" t="str">
        <f>_xlfn.IFNA(_xlfn.IFS(AE225&gt;Dash!$H$46, "Big", AE225&lt;Dash!$H$49, "Small", AE225&gt;Dash!$H$47, "Good"), "Norm")</f>
        <v>Norm</v>
      </c>
      <c r="AG225">
        <v>97</v>
      </c>
      <c r="AH225" t="str">
        <f>_xlfn.IFNA(_xlfn.IFS(AG225&gt;Dash!$I$46, "Big", AG225&lt;Dash!$I$49, "Small", AG225&gt;Dash!$I$47, "Good"), "Norm")</f>
        <v>Big</v>
      </c>
    </row>
    <row r="226" spans="1:34" x14ac:dyDescent="0.25">
      <c r="A226" s="1">
        <v>45497</v>
      </c>
      <c r="B226" t="s">
        <v>18</v>
      </c>
      <c r="C226" t="s">
        <v>13</v>
      </c>
      <c r="D226" t="s">
        <v>47</v>
      </c>
      <c r="E226">
        <v>536.25</v>
      </c>
      <c r="F226">
        <v>1800</v>
      </c>
      <c r="J226" t="s">
        <v>37</v>
      </c>
      <c r="K226" t="s">
        <v>16</v>
      </c>
      <c r="L226" t="s">
        <v>17</v>
      </c>
      <c r="M226" t="s">
        <v>18</v>
      </c>
      <c r="N226">
        <v>5</v>
      </c>
      <c r="R226" t="s">
        <v>33</v>
      </c>
      <c r="S226" t="s">
        <v>14</v>
      </c>
      <c r="T226">
        <v>507.25</v>
      </c>
      <c r="U226" t="str">
        <f>_xlfn.IFNA(_xlfn.IFS(E226&gt;Dash!$D$46, "Big", E226&lt;Dash!$D$49, "Small", E226&gt;Dash!$D$47, "Good"), "Norm")</f>
        <v>Big</v>
      </c>
      <c r="V226" t="s">
        <v>41</v>
      </c>
      <c r="W226">
        <v>180.75</v>
      </c>
      <c r="X226" t="s">
        <v>43</v>
      </c>
      <c r="Y226">
        <v>161.75</v>
      </c>
      <c r="Z226" t="str">
        <f>_xlfn.IFNA(_xlfn.IFS(Y226&gt;Dash!$E$46, "Big", Y226&lt;Dash!$E$49, "Small", Y226&gt;Dash!$E$47, "Good"), "Norm")</f>
        <v>Big</v>
      </c>
      <c r="AA226">
        <v>92.25</v>
      </c>
      <c r="AB226" t="str">
        <f>_xlfn.IFNA(_xlfn.IFS(AA226&gt;Dash!$F$46, "Big", AA226&lt;Dash!$F$49, "Small", AA226&gt;Dash!$F$47, "Good"), "Norm")</f>
        <v>Norm</v>
      </c>
      <c r="AC226">
        <v>347.75</v>
      </c>
      <c r="AD226" t="str">
        <f>_xlfn.IFNA(_xlfn.IFS(AC226&gt;Dash!$G$46, "Big", AC226&lt;Dash!$G$49, "Small", AC226&gt;Dash!$G$47, "Good"), "Norm")</f>
        <v>Big</v>
      </c>
      <c r="AE226">
        <v>211.75</v>
      </c>
      <c r="AF226" t="str">
        <f>_xlfn.IFNA(_xlfn.IFS(AE226&gt;Dash!$H$46, "Big", AE226&lt;Dash!$H$49, "Small", AE226&gt;Dash!$H$47, "Good"), "Norm")</f>
        <v>Good</v>
      </c>
      <c r="AG226">
        <v>85.75</v>
      </c>
      <c r="AH226" t="str">
        <f>_xlfn.IFNA(_xlfn.IFS(AG226&gt;Dash!$I$46, "Big", AG226&lt;Dash!$I$49, "Small", AG226&gt;Dash!$I$47, "Good"), "Norm")</f>
        <v>Big</v>
      </c>
    </row>
    <row r="227" spans="1:34" x14ac:dyDescent="0.25">
      <c r="A227" s="1">
        <v>45498</v>
      </c>
      <c r="B227" t="s">
        <v>36</v>
      </c>
      <c r="C227" t="s">
        <v>33</v>
      </c>
      <c r="D227" t="s">
        <v>14</v>
      </c>
      <c r="E227">
        <v>507.25</v>
      </c>
      <c r="F227">
        <v>200</v>
      </c>
      <c r="G227">
        <v>200</v>
      </c>
      <c r="J227" t="s">
        <v>15</v>
      </c>
      <c r="K227" t="s">
        <v>25</v>
      </c>
      <c r="L227" t="s">
        <v>32</v>
      </c>
      <c r="M227" t="s">
        <v>18</v>
      </c>
      <c r="N227">
        <v>5</v>
      </c>
      <c r="R227" t="s">
        <v>13</v>
      </c>
      <c r="S227">
        <v>1</v>
      </c>
      <c r="T227">
        <v>257.5</v>
      </c>
      <c r="U227" t="str">
        <f>_xlfn.IFNA(_xlfn.IFS(E227&gt;Dash!$D$46, "Big", E227&lt;Dash!$D$49, "Small", E227&gt;Dash!$D$47, "Good"), "Norm")</f>
        <v>Big</v>
      </c>
      <c r="V227" t="s">
        <v>13</v>
      </c>
      <c r="W227">
        <v>536.25</v>
      </c>
      <c r="X227" t="s">
        <v>47</v>
      </c>
      <c r="Y227">
        <v>88.5</v>
      </c>
      <c r="Z227" t="str">
        <f>_xlfn.IFNA(_xlfn.IFS(Y227&gt;Dash!$E$46, "Big", Y227&lt;Dash!$E$49, "Small", Y227&gt;Dash!$E$47, "Good"), "Norm")</f>
        <v>Good</v>
      </c>
      <c r="AA227">
        <v>214</v>
      </c>
      <c r="AB227" t="str">
        <f>_xlfn.IFNA(_xlfn.IFS(AA227&gt;Dash!$F$46, "Big", AA227&lt;Dash!$F$49, "Small", AA227&gt;Dash!$F$47, "Good"), "Norm")</f>
        <v>Big</v>
      </c>
      <c r="AC227">
        <v>396.75</v>
      </c>
      <c r="AD227" t="str">
        <f>_xlfn.IFNA(_xlfn.IFS(AC227&gt;Dash!$G$46, "Big", AC227&lt;Dash!$G$49, "Small", AC227&gt;Dash!$G$47, "Good"), "Norm")</f>
        <v>Big</v>
      </c>
      <c r="AE227">
        <v>408.5</v>
      </c>
      <c r="AF227" t="str">
        <f>_xlfn.IFNA(_xlfn.IFS(AE227&gt;Dash!$H$46, "Big", AE227&lt;Dash!$H$49, "Small", AE227&gt;Dash!$H$47, "Good"), "Norm")</f>
        <v>Big</v>
      </c>
      <c r="AG227">
        <v>65.75</v>
      </c>
      <c r="AH227" t="str">
        <f>_xlfn.IFNA(_xlfn.IFS(AG227&gt;Dash!$I$46, "Big", AG227&lt;Dash!$I$49, "Small", AG227&gt;Dash!$I$47, "Good"), "Norm")</f>
        <v>Good</v>
      </c>
    </row>
    <row r="228" spans="1:34" x14ac:dyDescent="0.25">
      <c r="A228" s="1">
        <v>45499</v>
      </c>
      <c r="B228" t="s">
        <v>26</v>
      </c>
      <c r="C228" t="s">
        <v>13</v>
      </c>
      <c r="D228">
        <v>1</v>
      </c>
      <c r="E228">
        <v>257.5</v>
      </c>
      <c r="J228" t="s">
        <v>34</v>
      </c>
      <c r="K228" t="s">
        <v>31</v>
      </c>
      <c r="L228" t="s">
        <v>32</v>
      </c>
      <c r="M228" t="s">
        <v>18</v>
      </c>
      <c r="N228">
        <v>5</v>
      </c>
      <c r="R228" t="s">
        <v>33</v>
      </c>
      <c r="S228" t="s">
        <v>43</v>
      </c>
      <c r="T228">
        <v>264</v>
      </c>
      <c r="U228" t="str">
        <f>_xlfn.IFNA(_xlfn.IFS(E228&gt;Dash!$D$46, "Big", E228&lt;Dash!$D$49, "Small", E228&gt;Dash!$D$47, "Good"), "Norm")</f>
        <v>Good</v>
      </c>
      <c r="V228" t="s">
        <v>33</v>
      </c>
      <c r="W228">
        <v>507.25</v>
      </c>
      <c r="X228" t="s">
        <v>14</v>
      </c>
      <c r="Y228">
        <v>120.75</v>
      </c>
      <c r="Z228" t="str">
        <f>_xlfn.IFNA(_xlfn.IFS(Y228&gt;Dash!$E$46, "Big", Y228&lt;Dash!$E$49, "Small", Y228&gt;Dash!$E$47, "Good"), "Norm")</f>
        <v>Good</v>
      </c>
      <c r="AA228">
        <v>157.5</v>
      </c>
      <c r="AB228" t="str">
        <f>_xlfn.IFNA(_xlfn.IFS(AA228&gt;Dash!$F$46, "Big", AA228&lt;Dash!$F$49, "Small", AA228&gt;Dash!$F$47, "Good"), "Norm")</f>
        <v>Big</v>
      </c>
      <c r="AC228">
        <v>196.25</v>
      </c>
      <c r="AD228" t="str">
        <f>_xlfn.IFNA(_xlfn.IFS(AC228&gt;Dash!$G$46, "Big", AC228&lt;Dash!$G$49, "Small", AC228&gt;Dash!$G$47, "Good"), "Norm")</f>
        <v>Norm</v>
      </c>
      <c r="AE228">
        <v>193.75</v>
      </c>
      <c r="AF228" t="str">
        <f>_xlfn.IFNA(_xlfn.IFS(AE228&gt;Dash!$H$46, "Big", AE228&lt;Dash!$H$49, "Small", AE228&gt;Dash!$H$47, "Good"), "Norm")</f>
        <v>Good</v>
      </c>
      <c r="AG228">
        <v>23.5</v>
      </c>
      <c r="AH228" t="str">
        <f>_xlfn.IFNA(_xlfn.IFS(AG228&gt;Dash!$I$46, "Big", AG228&lt;Dash!$I$49, "Small", AG228&gt;Dash!$I$47, "Good"), "Norm")</f>
        <v>Norm</v>
      </c>
    </row>
    <row r="229" spans="1:34" x14ac:dyDescent="0.25">
      <c r="A229" s="1">
        <v>45502</v>
      </c>
      <c r="B229" t="s">
        <v>23</v>
      </c>
      <c r="C229" t="s">
        <v>33</v>
      </c>
      <c r="D229" t="s">
        <v>43</v>
      </c>
      <c r="E229">
        <v>264</v>
      </c>
      <c r="F229">
        <v>2000</v>
      </c>
      <c r="G229">
        <v>2100</v>
      </c>
      <c r="J229" t="s">
        <v>29</v>
      </c>
      <c r="K229" t="s">
        <v>35</v>
      </c>
      <c r="L229" t="s">
        <v>25</v>
      </c>
      <c r="M229" t="s">
        <v>19</v>
      </c>
      <c r="N229">
        <v>13</v>
      </c>
      <c r="R229" t="s">
        <v>33</v>
      </c>
      <c r="S229" t="s">
        <v>14</v>
      </c>
      <c r="T229">
        <v>516.75</v>
      </c>
      <c r="U229" t="str">
        <f>_xlfn.IFNA(_xlfn.IFS(E229&gt;Dash!$D$46, "Big", E229&lt;Dash!$D$49, "Small", E229&gt;Dash!$D$47, "Good"), "Norm")</f>
        <v>Good</v>
      </c>
      <c r="V229" t="s">
        <v>13</v>
      </c>
      <c r="W229">
        <v>257.5</v>
      </c>
      <c r="X229">
        <v>1</v>
      </c>
      <c r="Y229">
        <v>162.25</v>
      </c>
      <c r="Z229" t="str">
        <f>_xlfn.IFNA(_xlfn.IFS(Y229&gt;Dash!$E$46, "Big", Y229&lt;Dash!$E$49, "Small", Y229&gt;Dash!$E$47, "Good"), "Norm")</f>
        <v>Big</v>
      </c>
      <c r="AA229">
        <v>115</v>
      </c>
      <c r="AB229" t="str">
        <f>_xlfn.IFNA(_xlfn.IFS(AA229&gt;Dash!$F$46, "Big", AA229&lt;Dash!$F$49, "Small", AA229&gt;Dash!$F$47, "Good"), "Norm")</f>
        <v>Good</v>
      </c>
      <c r="AC229">
        <v>264</v>
      </c>
      <c r="AD229" t="str">
        <f>_xlfn.IFNA(_xlfn.IFS(AC229&gt;Dash!$G$46, "Big", AC229&lt;Dash!$G$49, "Small", AC229&gt;Dash!$G$47, "Good"), "Norm")</f>
        <v>Good</v>
      </c>
      <c r="AE229">
        <v>162.75</v>
      </c>
      <c r="AF229" t="str">
        <f>_xlfn.IFNA(_xlfn.IFS(AE229&gt;Dash!$H$46, "Big", AE229&lt;Dash!$H$49, "Small", AE229&gt;Dash!$H$47, "Good"), "Norm")</f>
        <v>Good</v>
      </c>
      <c r="AG229">
        <v>34</v>
      </c>
      <c r="AH229" t="str">
        <f>_xlfn.IFNA(_xlfn.IFS(AG229&gt;Dash!$I$46, "Big", AG229&lt;Dash!$I$49, "Small", AG229&gt;Dash!$I$47, "Good"), "Norm")</f>
        <v>Norm</v>
      </c>
    </row>
    <row r="230" spans="1:34" x14ac:dyDescent="0.25">
      <c r="A230" s="1">
        <v>45503</v>
      </c>
      <c r="B230" t="s">
        <v>19</v>
      </c>
      <c r="C230" t="s">
        <v>33</v>
      </c>
      <c r="D230" t="s">
        <v>14</v>
      </c>
      <c r="E230">
        <v>516.75</v>
      </c>
      <c r="F230">
        <v>2100</v>
      </c>
      <c r="G230">
        <v>2300</v>
      </c>
      <c r="J230" t="s">
        <v>37</v>
      </c>
      <c r="K230" t="s">
        <v>35</v>
      </c>
      <c r="L230" t="s">
        <v>17</v>
      </c>
      <c r="M230" t="s">
        <v>19</v>
      </c>
      <c r="N230">
        <v>13</v>
      </c>
      <c r="O230" t="s">
        <v>72</v>
      </c>
      <c r="R230" t="s">
        <v>13</v>
      </c>
      <c r="S230" t="s">
        <v>28</v>
      </c>
      <c r="T230">
        <v>327.5</v>
      </c>
      <c r="U230" t="str">
        <f>_xlfn.IFNA(_xlfn.IFS(E230&gt;Dash!$D$46, "Big", E230&lt;Dash!$D$49, "Small", E230&gt;Dash!$D$47, "Good"), "Norm")</f>
        <v>Big</v>
      </c>
      <c r="V230" t="s">
        <v>33</v>
      </c>
      <c r="W230">
        <v>264</v>
      </c>
      <c r="X230" t="s">
        <v>43</v>
      </c>
      <c r="Y230">
        <v>161.5</v>
      </c>
      <c r="Z230" t="str">
        <f>_xlfn.IFNA(_xlfn.IFS(Y230&gt;Dash!$E$46, "Big", Y230&lt;Dash!$E$49, "Small", Y230&gt;Dash!$E$47, "Good"), "Norm")</f>
        <v>Big</v>
      </c>
      <c r="AA230">
        <v>95</v>
      </c>
      <c r="AB230" t="str">
        <f>_xlfn.IFNA(_xlfn.IFS(AA230&gt;Dash!$F$46, "Big", AA230&lt;Dash!$F$49, "Small", AA230&gt;Dash!$F$47, "Good"), "Norm")</f>
        <v>Norm</v>
      </c>
      <c r="AC230">
        <v>393.75</v>
      </c>
      <c r="AD230" t="str">
        <f>_xlfn.IFNA(_xlfn.IFS(AC230&gt;Dash!$G$46, "Big", AC230&lt;Dash!$G$49, "Small", AC230&gt;Dash!$G$47, "Good"), "Norm")</f>
        <v>Big</v>
      </c>
      <c r="AE230">
        <v>213.25</v>
      </c>
      <c r="AF230" t="str">
        <f>_xlfn.IFNA(_xlfn.IFS(AE230&gt;Dash!$H$46, "Big", AE230&lt;Dash!$H$49, "Small", AE230&gt;Dash!$H$47, "Good"), "Norm")</f>
        <v>Good</v>
      </c>
      <c r="AG230">
        <v>229.25</v>
      </c>
      <c r="AH230" t="str">
        <f>_xlfn.IFNA(_xlfn.IFS(AG230&gt;Dash!$I$46, "Big", AG230&lt;Dash!$I$49, "Small", AG230&gt;Dash!$I$47, "Good"), "Norm")</f>
        <v>Big</v>
      </c>
    </row>
    <row r="231" spans="1:34" x14ac:dyDescent="0.25">
      <c r="A231" s="1">
        <v>45504</v>
      </c>
      <c r="B231" t="s">
        <v>18</v>
      </c>
      <c r="C231" t="s">
        <v>13</v>
      </c>
      <c r="D231" t="s">
        <v>28</v>
      </c>
      <c r="E231">
        <v>327.5</v>
      </c>
      <c r="F231">
        <v>800</v>
      </c>
      <c r="J231" t="s">
        <v>27</v>
      </c>
      <c r="K231" t="s">
        <v>31</v>
      </c>
      <c r="L231" t="s">
        <v>44</v>
      </c>
      <c r="M231" t="s">
        <v>19</v>
      </c>
      <c r="N231">
        <v>13</v>
      </c>
      <c r="O231" t="s">
        <v>68</v>
      </c>
      <c r="R231" t="s">
        <v>13</v>
      </c>
      <c r="S231" t="s">
        <v>48</v>
      </c>
      <c r="T231">
        <v>813.75</v>
      </c>
      <c r="U231" t="str">
        <f>_xlfn.IFNA(_xlfn.IFS(E231&gt;Dash!$D$46, "Big", E231&lt;Dash!$D$49, "Small", E231&gt;Dash!$D$47, "Good"), "Norm")</f>
        <v>Good</v>
      </c>
      <c r="V231" t="s">
        <v>33</v>
      </c>
      <c r="W231">
        <v>516.75</v>
      </c>
      <c r="X231" t="s">
        <v>14</v>
      </c>
      <c r="Y231">
        <v>363.5</v>
      </c>
      <c r="Z231" t="str">
        <f>_xlfn.IFNA(_xlfn.IFS(Y231&gt;Dash!$E$46, "Big", Y231&lt;Dash!$E$49, "Small", Y231&gt;Dash!$E$47, "Good"), "Norm")</f>
        <v>Big</v>
      </c>
      <c r="AA231">
        <v>93.75</v>
      </c>
      <c r="AB231" t="str">
        <f>_xlfn.IFNA(_xlfn.IFS(AA231&gt;Dash!$F$46, "Big", AA231&lt;Dash!$F$49, "Small", AA231&gt;Dash!$F$47, "Good"), "Norm")</f>
        <v>Norm</v>
      </c>
      <c r="AC231">
        <v>270.25</v>
      </c>
      <c r="AD231" t="str">
        <f>_xlfn.IFNA(_xlfn.IFS(AC231&gt;Dash!$G$46, "Big", AC231&lt;Dash!$G$49, "Small", AC231&gt;Dash!$G$47, "Good"), "Norm")</f>
        <v>Good</v>
      </c>
      <c r="AE231">
        <v>228.5</v>
      </c>
      <c r="AF231" t="str">
        <f>_xlfn.IFNA(_xlfn.IFS(AE231&gt;Dash!$H$46, "Big", AE231&lt;Dash!$H$49, "Small", AE231&gt;Dash!$H$47, "Good"), "Norm")</f>
        <v>Good</v>
      </c>
      <c r="AG231">
        <v>159</v>
      </c>
      <c r="AH231" t="str">
        <f>_xlfn.IFNA(_xlfn.IFS(AG231&gt;Dash!$I$46, "Big", AG231&lt;Dash!$I$49, "Small", AG231&gt;Dash!$I$47, "Good"), "Norm")</f>
        <v>Big</v>
      </c>
    </row>
    <row r="232" spans="1:34" x14ac:dyDescent="0.25">
      <c r="A232" s="1">
        <v>45505</v>
      </c>
      <c r="B232" t="s">
        <v>36</v>
      </c>
      <c r="C232" t="s">
        <v>13</v>
      </c>
      <c r="D232" t="s">
        <v>48</v>
      </c>
      <c r="E232">
        <v>813.75</v>
      </c>
      <c r="F232">
        <v>1900</v>
      </c>
      <c r="G232">
        <v>2000</v>
      </c>
      <c r="J232" t="s">
        <v>29</v>
      </c>
      <c r="K232" t="s">
        <v>16</v>
      </c>
      <c r="L232" t="s">
        <v>42</v>
      </c>
      <c r="M232" t="s">
        <v>19</v>
      </c>
      <c r="N232">
        <v>13</v>
      </c>
      <c r="O232" t="s">
        <v>73</v>
      </c>
      <c r="R232" t="s">
        <v>24</v>
      </c>
      <c r="S232" t="s">
        <v>14</v>
      </c>
      <c r="T232">
        <v>375.75</v>
      </c>
      <c r="U232" t="str">
        <f>_xlfn.IFNA(_xlfn.IFS(E232&gt;Dash!$D$46, "Big", E232&lt;Dash!$D$49, "Small", E232&gt;Dash!$D$47, "Good"), "Norm")</f>
        <v>Big</v>
      </c>
      <c r="V232" t="s">
        <v>13</v>
      </c>
      <c r="W232">
        <v>327.5</v>
      </c>
      <c r="X232" t="s">
        <v>28</v>
      </c>
      <c r="Y232">
        <v>134.75</v>
      </c>
      <c r="Z232" t="str">
        <f>_xlfn.IFNA(_xlfn.IFS(Y232&gt;Dash!$E$46, "Big", Y232&lt;Dash!$E$49, "Small", Y232&gt;Dash!$E$47, "Good"), "Norm")</f>
        <v>Good</v>
      </c>
      <c r="AA232">
        <v>188</v>
      </c>
      <c r="AB232" t="str">
        <f>_xlfn.IFNA(_xlfn.IFS(AA232&gt;Dash!$F$46, "Big", AA232&lt;Dash!$F$49, "Small", AA232&gt;Dash!$F$47, "Good"), "Norm")</f>
        <v>Big</v>
      </c>
      <c r="AC232">
        <v>535.75</v>
      </c>
      <c r="AD232" t="str">
        <f>_xlfn.IFNA(_xlfn.IFS(AC232&gt;Dash!$G$46, "Big", AC232&lt;Dash!$G$49, "Small", AC232&gt;Dash!$G$47, "Good"), "Norm")</f>
        <v>Big</v>
      </c>
      <c r="AE232">
        <v>368</v>
      </c>
      <c r="AF232" t="str">
        <f>_xlfn.IFNA(_xlfn.IFS(AE232&gt;Dash!$H$46, "Big", AE232&lt;Dash!$H$49, "Small", AE232&gt;Dash!$H$47, "Good"), "Norm")</f>
        <v>Big</v>
      </c>
      <c r="AG232">
        <v>196</v>
      </c>
      <c r="AH232" t="str">
        <f>_xlfn.IFNA(_xlfn.IFS(AG232&gt;Dash!$I$46, "Big", AG232&lt;Dash!$I$49, "Small", AG232&gt;Dash!$I$47, "Good"), "Norm")</f>
        <v>Big</v>
      </c>
    </row>
    <row r="233" spans="1:34" x14ac:dyDescent="0.25">
      <c r="A233" s="1">
        <v>45506</v>
      </c>
      <c r="B233" t="s">
        <v>26</v>
      </c>
      <c r="C233" t="s">
        <v>24</v>
      </c>
      <c r="D233" t="s">
        <v>14</v>
      </c>
      <c r="E233">
        <v>375.75</v>
      </c>
      <c r="F233">
        <v>1800</v>
      </c>
      <c r="G233">
        <v>1800</v>
      </c>
      <c r="J233" t="s">
        <v>37</v>
      </c>
      <c r="K233" t="s">
        <v>16</v>
      </c>
      <c r="L233" t="s">
        <v>25</v>
      </c>
      <c r="M233" t="s">
        <v>19</v>
      </c>
      <c r="N233">
        <v>13</v>
      </c>
      <c r="R233">
        <v>0</v>
      </c>
      <c r="S233" t="s">
        <v>47</v>
      </c>
      <c r="T233">
        <v>926.5</v>
      </c>
      <c r="U233" t="str">
        <f>_xlfn.IFNA(_xlfn.IFS(E233&gt;Dash!$D$46, "Big", E233&lt;Dash!$D$49, "Small", E233&gt;Dash!$D$47, "Good"), "Norm")</f>
        <v>Good</v>
      </c>
      <c r="V233" t="s">
        <v>13</v>
      </c>
      <c r="W233">
        <v>813.75</v>
      </c>
      <c r="X233" t="s">
        <v>48</v>
      </c>
      <c r="Y233">
        <v>293.75</v>
      </c>
      <c r="Z233" t="str">
        <f>_xlfn.IFNA(_xlfn.IFS(Y233&gt;Dash!$E$46, "Big", Y233&lt;Dash!$E$49, "Small", Y233&gt;Dash!$E$47, "Good"), "Norm")</f>
        <v>Big</v>
      </c>
      <c r="AA233">
        <v>141.75</v>
      </c>
      <c r="AB233" t="str">
        <f>_xlfn.IFNA(_xlfn.IFS(AA233&gt;Dash!$F$46, "Big", AA233&lt;Dash!$F$49, "Small", AA233&gt;Dash!$F$47, "Good"), "Norm")</f>
        <v>Good</v>
      </c>
      <c r="AC233">
        <v>375.75</v>
      </c>
      <c r="AD233" t="str">
        <f>_xlfn.IFNA(_xlfn.IFS(AC233&gt;Dash!$G$46, "Big", AC233&lt;Dash!$G$49, "Small", AC233&gt;Dash!$G$47, "Good"), "Norm")</f>
        <v>Big</v>
      </c>
      <c r="AE233">
        <v>188</v>
      </c>
      <c r="AF233" t="str">
        <f>_xlfn.IFNA(_xlfn.IFS(AE233&gt;Dash!$H$46, "Big", AE233&lt;Dash!$H$49, "Small", AE233&gt;Dash!$H$47, "Good"), "Norm")</f>
        <v>Good</v>
      </c>
      <c r="AG233">
        <v>65</v>
      </c>
      <c r="AH233" t="str">
        <f>_xlfn.IFNA(_xlfn.IFS(AG233&gt;Dash!$I$46, "Big", AG233&lt;Dash!$I$49, "Small", AG233&gt;Dash!$I$47, "Good"), "Norm")</f>
        <v>Good</v>
      </c>
    </row>
    <row r="234" spans="1:34" x14ac:dyDescent="0.25">
      <c r="A234" s="1">
        <v>45509</v>
      </c>
      <c r="B234" t="s">
        <v>23</v>
      </c>
      <c r="D234" t="s">
        <v>47</v>
      </c>
      <c r="E234">
        <v>926.5</v>
      </c>
      <c r="F234">
        <v>1800</v>
      </c>
      <c r="J234" t="s">
        <v>37</v>
      </c>
      <c r="K234" t="s">
        <v>16</v>
      </c>
      <c r="L234" t="s">
        <v>31</v>
      </c>
      <c r="M234" t="s">
        <v>23</v>
      </c>
      <c r="N234">
        <v>2</v>
      </c>
      <c r="R234" t="s">
        <v>33</v>
      </c>
      <c r="S234" t="s">
        <v>43</v>
      </c>
      <c r="T234">
        <v>517.25</v>
      </c>
      <c r="U234" t="str">
        <f>_xlfn.IFNA(_xlfn.IFS(E234&gt;Dash!$D$46, "Big", E234&lt;Dash!$D$49, "Small", E234&gt;Dash!$D$47, "Good"), "Norm")</f>
        <v>Big</v>
      </c>
      <c r="V234" t="s">
        <v>24</v>
      </c>
      <c r="W234">
        <v>375.75</v>
      </c>
      <c r="X234" t="s">
        <v>14</v>
      </c>
      <c r="Y234">
        <v>1039</v>
      </c>
      <c r="Z234" t="str">
        <f>_xlfn.IFNA(_xlfn.IFS(Y234&gt;Dash!$E$46, "Big", Y234&lt;Dash!$E$49, "Small", Y234&gt;Dash!$E$47, "Good"), "Norm")</f>
        <v>Big</v>
      </c>
      <c r="AA234">
        <v>528.75</v>
      </c>
      <c r="AB234" t="str">
        <f>_xlfn.IFNA(_xlfn.IFS(AA234&gt;Dash!$F$46, "Big", AA234&lt;Dash!$F$49, "Small", AA234&gt;Dash!$F$47, "Good"), "Norm")</f>
        <v>Big</v>
      </c>
      <c r="AC234">
        <v>826.75</v>
      </c>
      <c r="AD234" t="str">
        <f>_xlfn.IFNA(_xlfn.IFS(AC234&gt;Dash!$G$46, "Big", AC234&lt;Dash!$G$49, "Small", AC234&gt;Dash!$G$47, "Good"), "Norm")</f>
        <v>Big</v>
      </c>
      <c r="AE234">
        <v>396.75</v>
      </c>
      <c r="AF234" t="str">
        <f>_xlfn.IFNA(_xlfn.IFS(AE234&gt;Dash!$H$46, "Big", AE234&lt;Dash!$H$49, "Small", AE234&gt;Dash!$H$47, "Good"), "Norm")</f>
        <v>Big</v>
      </c>
      <c r="AG234">
        <v>171.75</v>
      </c>
      <c r="AH234" t="str">
        <f>_xlfn.IFNA(_xlfn.IFS(AG234&gt;Dash!$I$46, "Big", AG234&lt;Dash!$I$49, "Small", AG234&gt;Dash!$I$47, "Good"), "Norm")</f>
        <v>Big</v>
      </c>
    </row>
    <row r="235" spans="1:34" x14ac:dyDescent="0.25">
      <c r="A235" s="1">
        <v>45510</v>
      </c>
      <c r="B235" t="s">
        <v>19</v>
      </c>
      <c r="C235" t="s">
        <v>33</v>
      </c>
      <c r="D235" t="s">
        <v>43</v>
      </c>
      <c r="E235">
        <v>517.25</v>
      </c>
      <c r="F235">
        <v>2100</v>
      </c>
      <c r="G235">
        <v>2100</v>
      </c>
      <c r="J235" t="s">
        <v>29</v>
      </c>
      <c r="K235" t="s">
        <v>25</v>
      </c>
      <c r="L235" t="s">
        <v>32</v>
      </c>
      <c r="M235" t="s">
        <v>23</v>
      </c>
      <c r="N235">
        <v>2</v>
      </c>
      <c r="R235" t="s">
        <v>33</v>
      </c>
      <c r="S235" t="s">
        <v>48</v>
      </c>
      <c r="T235">
        <v>606.75</v>
      </c>
      <c r="U235" t="str">
        <f>_xlfn.IFNA(_xlfn.IFS(E235&gt;Dash!$D$46, "Big", E235&lt;Dash!$D$49, "Small", E235&gt;Dash!$D$47, "Good"), "Norm")</f>
        <v>Big</v>
      </c>
      <c r="V235">
        <v>0</v>
      </c>
      <c r="W235">
        <v>926.5</v>
      </c>
      <c r="X235" t="s">
        <v>47</v>
      </c>
      <c r="Y235">
        <v>275</v>
      </c>
      <c r="Z235" t="str">
        <f>_xlfn.IFNA(_xlfn.IFS(Y235&gt;Dash!$E$46, "Big", Y235&lt;Dash!$E$49, "Small", Y235&gt;Dash!$E$47, "Good"), "Norm")</f>
        <v>Big</v>
      </c>
      <c r="AA235">
        <v>349.75</v>
      </c>
      <c r="AB235" t="str">
        <f>_xlfn.IFNA(_xlfn.IFS(AA235&gt;Dash!$F$46, "Big", AA235&lt;Dash!$F$49, "Small", AA235&gt;Dash!$F$47, "Good"), "Norm")</f>
        <v>Big</v>
      </c>
      <c r="AC235">
        <v>383.75</v>
      </c>
      <c r="AD235" t="str">
        <f>_xlfn.IFNA(_xlfn.IFS(AC235&gt;Dash!$G$46, "Big", AC235&lt;Dash!$G$49, "Small", AC235&gt;Dash!$G$47, "Good"), "Norm")</f>
        <v>Big</v>
      </c>
      <c r="AE235">
        <v>318.5</v>
      </c>
      <c r="AF235" t="str">
        <f>_xlfn.IFNA(_xlfn.IFS(AE235&gt;Dash!$H$46, "Big", AE235&lt;Dash!$H$49, "Small", AE235&gt;Dash!$H$47, "Good"), "Norm")</f>
        <v>Big</v>
      </c>
      <c r="AG235">
        <v>204</v>
      </c>
      <c r="AH235" t="str">
        <f>_xlfn.IFNA(_xlfn.IFS(AG235&gt;Dash!$I$46, "Big", AG235&lt;Dash!$I$49, "Small", AG235&gt;Dash!$I$47, "Good"), "Norm")</f>
        <v>Big</v>
      </c>
    </row>
    <row r="236" spans="1:34" x14ac:dyDescent="0.25">
      <c r="A236" s="1">
        <v>45511</v>
      </c>
      <c r="B236" t="s">
        <v>18</v>
      </c>
      <c r="C236" t="s">
        <v>33</v>
      </c>
      <c r="D236" t="s">
        <v>48</v>
      </c>
      <c r="E236">
        <v>606.75</v>
      </c>
      <c r="F236">
        <v>900</v>
      </c>
      <c r="G236">
        <v>1100</v>
      </c>
      <c r="J236" t="s">
        <v>27</v>
      </c>
      <c r="K236" t="s">
        <v>35</v>
      </c>
      <c r="L236" t="s">
        <v>42</v>
      </c>
      <c r="M236" t="s">
        <v>23</v>
      </c>
      <c r="N236">
        <v>2</v>
      </c>
      <c r="R236" t="s">
        <v>13</v>
      </c>
      <c r="S236" t="s">
        <v>38</v>
      </c>
      <c r="T236">
        <v>597.25</v>
      </c>
      <c r="U236" t="str">
        <f>_xlfn.IFNA(_xlfn.IFS(E236&gt;Dash!$D$46, "Big", E236&lt;Dash!$D$49, "Small", E236&gt;Dash!$D$47, "Good"), "Norm")</f>
        <v>Big</v>
      </c>
      <c r="V236" t="s">
        <v>33</v>
      </c>
      <c r="W236">
        <v>517.25</v>
      </c>
      <c r="X236" t="s">
        <v>43</v>
      </c>
      <c r="Y236">
        <v>408.5</v>
      </c>
      <c r="Z236" t="str">
        <f>_xlfn.IFNA(_xlfn.IFS(Y236&gt;Dash!$E$46, "Big", Y236&lt;Dash!$E$49, "Small", Y236&gt;Dash!$E$47, "Good"), "Norm")</f>
        <v>Big</v>
      </c>
      <c r="AA236">
        <v>241.75</v>
      </c>
      <c r="AB236" t="str">
        <f>_xlfn.IFNA(_xlfn.IFS(AA236&gt;Dash!$F$46, "Big", AA236&lt;Dash!$F$49, "Small", AA236&gt;Dash!$F$47, "Good"), "Norm")</f>
        <v>Big</v>
      </c>
      <c r="AC236">
        <v>217.25</v>
      </c>
      <c r="AD236" t="str">
        <f>_xlfn.IFNA(_xlfn.IFS(AC236&gt;Dash!$G$46, "Big", AC236&lt;Dash!$G$49, "Small", AC236&gt;Dash!$G$47, "Good"), "Norm")</f>
        <v>Good</v>
      </c>
      <c r="AE236">
        <v>453</v>
      </c>
      <c r="AF236" t="str">
        <f>_xlfn.IFNA(_xlfn.IFS(AE236&gt;Dash!$H$46, "Big", AE236&lt;Dash!$H$49, "Small", AE236&gt;Dash!$H$47, "Good"), "Norm")</f>
        <v>Big</v>
      </c>
      <c r="AG236">
        <v>163.75</v>
      </c>
      <c r="AH236" t="str">
        <f>_xlfn.IFNA(_xlfn.IFS(AG236&gt;Dash!$I$46, "Big", AG236&lt;Dash!$I$49, "Small", AG236&gt;Dash!$I$47, "Good"), "Norm")</f>
        <v>Big</v>
      </c>
    </row>
    <row r="237" spans="1:34" x14ac:dyDescent="0.25">
      <c r="A237" s="1">
        <v>45512</v>
      </c>
      <c r="B237" t="s">
        <v>36</v>
      </c>
      <c r="C237" t="s">
        <v>13</v>
      </c>
      <c r="D237" t="s">
        <v>38</v>
      </c>
      <c r="E237">
        <v>597.25</v>
      </c>
      <c r="F237">
        <v>1900</v>
      </c>
      <c r="G237">
        <v>1900</v>
      </c>
      <c r="H237">
        <v>1400</v>
      </c>
      <c r="I237">
        <v>1400</v>
      </c>
      <c r="J237" t="s">
        <v>37</v>
      </c>
      <c r="K237" t="s">
        <v>31</v>
      </c>
      <c r="L237" t="s">
        <v>44</v>
      </c>
      <c r="M237" t="s">
        <v>23</v>
      </c>
      <c r="N237">
        <v>2</v>
      </c>
      <c r="R237" t="s">
        <v>33</v>
      </c>
      <c r="S237" t="s">
        <v>28</v>
      </c>
      <c r="T237">
        <v>291.5</v>
      </c>
      <c r="U237" t="str">
        <f>_xlfn.IFNA(_xlfn.IFS(E237&gt;Dash!$D$46, "Big", E237&lt;Dash!$D$49, "Small", E237&gt;Dash!$D$47, "Good"), "Norm")</f>
        <v>Big</v>
      </c>
      <c r="V237" t="s">
        <v>33</v>
      </c>
      <c r="W237">
        <v>606.75</v>
      </c>
      <c r="X237" t="s">
        <v>48</v>
      </c>
      <c r="Y237">
        <v>337.5</v>
      </c>
      <c r="Z237" t="str">
        <f>_xlfn.IFNA(_xlfn.IFS(Y237&gt;Dash!$E$46, "Big", Y237&lt;Dash!$E$49, "Small", Y237&gt;Dash!$E$47, "Good"), "Norm")</f>
        <v>Big</v>
      </c>
      <c r="AA237">
        <v>175.75</v>
      </c>
      <c r="AB237" t="str">
        <f>_xlfn.IFNA(_xlfn.IFS(AA237&gt;Dash!$F$46, "Big", AA237&lt;Dash!$F$49, "Small", AA237&gt;Dash!$F$47, "Good"), "Norm")</f>
        <v>Big</v>
      </c>
      <c r="AC237">
        <v>480</v>
      </c>
      <c r="AD237" t="str">
        <f>_xlfn.IFNA(_xlfn.IFS(AC237&gt;Dash!$G$46, "Big", AC237&lt;Dash!$G$49, "Small", AC237&gt;Dash!$G$47, "Good"), "Norm")</f>
        <v>Big</v>
      </c>
      <c r="AE237">
        <v>197.25</v>
      </c>
      <c r="AF237" t="str">
        <f>_xlfn.IFNA(_xlfn.IFS(AE237&gt;Dash!$H$46, "Big", AE237&lt;Dash!$H$49, "Small", AE237&gt;Dash!$H$47, "Good"), "Norm")</f>
        <v>Good</v>
      </c>
      <c r="AG237">
        <v>81.75</v>
      </c>
      <c r="AH237" t="str">
        <f>_xlfn.IFNA(_xlfn.IFS(AG237&gt;Dash!$I$46, "Big", AG237&lt;Dash!$I$49, "Small", AG237&gt;Dash!$I$47, "Good"), "Norm")</f>
        <v>Good</v>
      </c>
    </row>
    <row r="238" spans="1:34" x14ac:dyDescent="0.25">
      <c r="A238" s="1">
        <v>45513</v>
      </c>
      <c r="B238" t="s">
        <v>26</v>
      </c>
      <c r="C238" t="s">
        <v>33</v>
      </c>
      <c r="D238" t="s">
        <v>28</v>
      </c>
      <c r="E238">
        <v>291.5</v>
      </c>
      <c r="F238">
        <v>1900</v>
      </c>
      <c r="G238">
        <v>2000</v>
      </c>
      <c r="J238" t="s">
        <v>29</v>
      </c>
      <c r="K238" t="s">
        <v>25</v>
      </c>
      <c r="L238" t="s">
        <v>32</v>
      </c>
      <c r="M238" t="s">
        <v>23</v>
      </c>
      <c r="N238">
        <v>2</v>
      </c>
      <c r="R238" t="s">
        <v>24</v>
      </c>
      <c r="S238" t="s">
        <v>28</v>
      </c>
      <c r="T238">
        <v>241.75</v>
      </c>
      <c r="U238" t="str">
        <f>_xlfn.IFNA(_xlfn.IFS(E238&gt;Dash!$D$46, "Big", E238&lt;Dash!$D$49, "Small", E238&gt;Dash!$D$47, "Good"), "Norm")</f>
        <v>Good</v>
      </c>
      <c r="V238" t="s">
        <v>13</v>
      </c>
      <c r="W238">
        <v>597.25</v>
      </c>
      <c r="X238" t="s">
        <v>38</v>
      </c>
      <c r="Y238">
        <v>186.75</v>
      </c>
      <c r="Z238" t="str">
        <f>_xlfn.IFNA(_xlfn.IFS(Y238&gt;Dash!$E$46, "Big", Y238&lt;Dash!$E$49, "Small", Y238&gt;Dash!$E$47, "Good"), "Norm")</f>
        <v>Big</v>
      </c>
      <c r="AA238">
        <v>162.75</v>
      </c>
      <c r="AB238" t="str">
        <f>_xlfn.IFNA(_xlfn.IFS(AA238&gt;Dash!$F$46, "Big", AA238&lt;Dash!$F$49, "Small", AA238&gt;Dash!$F$47, "Good"), "Norm")</f>
        <v>Big</v>
      </c>
      <c r="AC238">
        <v>195.75</v>
      </c>
      <c r="AD238" t="str">
        <f>_xlfn.IFNA(_xlfn.IFS(AC238&gt;Dash!$G$46, "Big", AC238&lt;Dash!$G$49, "Small", AC238&gt;Dash!$G$47, "Good"), "Norm")</f>
        <v>Norm</v>
      </c>
      <c r="AE238">
        <v>219</v>
      </c>
      <c r="AF238" t="str">
        <f>_xlfn.IFNA(_xlfn.IFS(AE238&gt;Dash!$H$46, "Big", AE238&lt;Dash!$H$49, "Small", AE238&gt;Dash!$H$47, "Good"), "Norm")</f>
        <v>Good</v>
      </c>
      <c r="AG238">
        <v>31.25</v>
      </c>
      <c r="AH238" t="str">
        <f>_xlfn.IFNA(_xlfn.IFS(AG238&gt;Dash!$I$46, "Big", AG238&lt;Dash!$I$49, "Small", AG238&gt;Dash!$I$47, "Good"), "Norm")</f>
        <v>Norm</v>
      </c>
    </row>
    <row r="239" spans="1:34" x14ac:dyDescent="0.25">
      <c r="A239" s="1">
        <v>45516</v>
      </c>
      <c r="B239" t="s">
        <v>23</v>
      </c>
      <c r="C239" t="s">
        <v>24</v>
      </c>
      <c r="D239" t="s">
        <v>28</v>
      </c>
      <c r="E239">
        <v>241.75</v>
      </c>
      <c r="F239">
        <v>300</v>
      </c>
      <c r="G239">
        <v>400</v>
      </c>
      <c r="J239" t="s">
        <v>30</v>
      </c>
      <c r="K239" t="s">
        <v>31</v>
      </c>
      <c r="L239" t="s">
        <v>35</v>
      </c>
      <c r="M239" t="s">
        <v>19</v>
      </c>
      <c r="N239">
        <v>8</v>
      </c>
      <c r="R239" t="s">
        <v>13</v>
      </c>
      <c r="S239" t="s">
        <v>28</v>
      </c>
      <c r="T239">
        <v>402.5</v>
      </c>
      <c r="U239" t="str">
        <f>_xlfn.IFNA(_xlfn.IFS(E239&gt;Dash!$D$46, "Big", E239&lt;Dash!$D$49, "Small", E239&gt;Dash!$D$47, "Good"), "Norm")</f>
        <v>Norm</v>
      </c>
      <c r="V239" t="s">
        <v>33</v>
      </c>
      <c r="W239">
        <v>291.5</v>
      </c>
      <c r="X239" t="s">
        <v>28</v>
      </c>
      <c r="Y239">
        <v>152</v>
      </c>
      <c r="Z239" t="str">
        <f>_xlfn.IFNA(_xlfn.IFS(Y239&gt;Dash!$E$46, "Big", Y239&lt;Dash!$E$49, "Small", Y239&gt;Dash!$E$47, "Good"), "Norm")</f>
        <v>Big</v>
      </c>
      <c r="AA239">
        <v>88.25</v>
      </c>
      <c r="AB239" t="str">
        <f>_xlfn.IFNA(_xlfn.IFS(AA239&gt;Dash!$F$46, "Big", AA239&lt;Dash!$F$49, "Small", AA239&gt;Dash!$F$47, "Good"), "Norm")</f>
        <v>Norm</v>
      </c>
      <c r="AC239">
        <v>241.75</v>
      </c>
      <c r="AD239" t="str">
        <f>_xlfn.IFNA(_xlfn.IFS(AC239&gt;Dash!$G$46, "Big", AC239&lt;Dash!$G$49, "Small", AC239&gt;Dash!$G$47, "Good"), "Norm")</f>
        <v>Good</v>
      </c>
      <c r="AE239">
        <v>150.25</v>
      </c>
      <c r="AF239" t="str">
        <f>_xlfn.IFNA(_xlfn.IFS(AE239&gt;Dash!$H$46, "Big", AE239&lt;Dash!$H$49, "Small", AE239&gt;Dash!$H$47, "Good"), "Norm")</f>
        <v>Norm</v>
      </c>
      <c r="AG239">
        <v>41.5</v>
      </c>
      <c r="AH239" t="str">
        <f>_xlfn.IFNA(_xlfn.IFS(AG239&gt;Dash!$I$46, "Big", AG239&lt;Dash!$I$49, "Small", AG239&gt;Dash!$I$47, "Good"), "Norm")</f>
        <v>Good</v>
      </c>
    </row>
    <row r="240" spans="1:34" x14ac:dyDescent="0.25">
      <c r="A240" s="1">
        <v>45517</v>
      </c>
      <c r="B240" t="s">
        <v>19</v>
      </c>
      <c r="C240" t="s">
        <v>13</v>
      </c>
      <c r="D240" t="s">
        <v>28</v>
      </c>
      <c r="E240">
        <v>402.5</v>
      </c>
      <c r="F240">
        <v>300</v>
      </c>
      <c r="G240">
        <v>400</v>
      </c>
      <c r="J240" t="s">
        <v>30</v>
      </c>
      <c r="K240" t="s">
        <v>31</v>
      </c>
      <c r="L240" t="s">
        <v>44</v>
      </c>
      <c r="M240" t="s">
        <v>19</v>
      </c>
      <c r="N240">
        <v>8</v>
      </c>
      <c r="R240" t="s">
        <v>33</v>
      </c>
      <c r="S240" t="s">
        <v>28</v>
      </c>
      <c r="T240">
        <v>278</v>
      </c>
      <c r="U240" t="str">
        <f>_xlfn.IFNA(_xlfn.IFS(E240&gt;Dash!$D$46, "Big", E240&lt;Dash!$D$49, "Small", E240&gt;Dash!$D$47, "Good"), "Norm")</f>
        <v>Big</v>
      </c>
      <c r="V240" t="s">
        <v>24</v>
      </c>
      <c r="W240">
        <v>241.75</v>
      </c>
      <c r="X240" t="s">
        <v>28</v>
      </c>
      <c r="Y240">
        <v>83</v>
      </c>
      <c r="Z240" t="str">
        <f>_xlfn.IFNA(_xlfn.IFS(Y240&gt;Dash!$E$46, "Big", Y240&lt;Dash!$E$49, "Small", Y240&gt;Dash!$E$47, "Good"), "Norm")</f>
        <v>Good</v>
      </c>
      <c r="AA240">
        <v>169.75</v>
      </c>
      <c r="AB240" t="str">
        <f>_xlfn.IFNA(_xlfn.IFS(AA240&gt;Dash!$F$46, "Big", AA240&lt;Dash!$F$49, "Small", AA240&gt;Dash!$F$47, "Good"), "Norm")</f>
        <v>Big</v>
      </c>
      <c r="AC240">
        <v>287.5</v>
      </c>
      <c r="AD240" t="str">
        <f>_xlfn.IFNA(_xlfn.IFS(AC240&gt;Dash!$G$46, "Big", AC240&lt;Dash!$G$49, "Small", AC240&gt;Dash!$G$47, "Good"), "Norm")</f>
        <v>Good</v>
      </c>
      <c r="AE240">
        <v>146.5</v>
      </c>
      <c r="AF240" t="str">
        <f>_xlfn.IFNA(_xlfn.IFS(AE240&gt;Dash!$H$46, "Big", AE240&lt;Dash!$H$49, "Small", AE240&gt;Dash!$H$47, "Good"), "Norm")</f>
        <v>Norm</v>
      </c>
      <c r="AG240">
        <v>41</v>
      </c>
      <c r="AH240" t="str">
        <f>_xlfn.IFNA(_xlfn.IFS(AG240&gt;Dash!$I$46, "Big", AG240&lt;Dash!$I$49, "Small", AG240&gt;Dash!$I$47, "Good"), "Norm")</f>
        <v>Good</v>
      </c>
    </row>
    <row r="241" spans="1:34" x14ac:dyDescent="0.25">
      <c r="A241" s="1">
        <v>45518</v>
      </c>
      <c r="B241" t="s">
        <v>18</v>
      </c>
      <c r="C241" t="s">
        <v>33</v>
      </c>
      <c r="D241" t="s">
        <v>28</v>
      </c>
      <c r="E241">
        <v>278</v>
      </c>
      <c r="F241">
        <v>1800</v>
      </c>
      <c r="G241">
        <v>1800</v>
      </c>
      <c r="J241" t="s">
        <v>29</v>
      </c>
      <c r="K241" t="s">
        <v>25</v>
      </c>
      <c r="L241" t="s">
        <v>35</v>
      </c>
      <c r="M241" t="s">
        <v>19</v>
      </c>
      <c r="N241">
        <v>8</v>
      </c>
      <c r="R241" t="s">
        <v>13</v>
      </c>
      <c r="S241" t="s">
        <v>28</v>
      </c>
      <c r="T241">
        <v>465</v>
      </c>
      <c r="U241" t="str">
        <f>_xlfn.IFNA(_xlfn.IFS(E241&gt;Dash!$D$46, "Big", E241&lt;Dash!$D$49, "Small", E241&gt;Dash!$D$47, "Good"), "Norm")</f>
        <v>Good</v>
      </c>
      <c r="V241" t="s">
        <v>13</v>
      </c>
      <c r="W241">
        <v>402.5</v>
      </c>
      <c r="X241" t="s">
        <v>28</v>
      </c>
      <c r="Y241">
        <v>71.5</v>
      </c>
      <c r="Z241" t="str">
        <f>_xlfn.IFNA(_xlfn.IFS(Y241&gt;Dash!$E$46, "Big", Y241&lt;Dash!$E$49, "Small", Y241&gt;Dash!$E$47, "Good"), "Norm")</f>
        <v>Norm</v>
      </c>
      <c r="AA241">
        <v>69.5</v>
      </c>
      <c r="AB241" t="str">
        <f>_xlfn.IFNA(_xlfn.IFS(AA241&gt;Dash!$F$46, "Big", AA241&lt;Dash!$F$49, "Small", AA241&gt;Dash!$F$47, "Good"), "Norm")</f>
        <v>Norm</v>
      </c>
      <c r="AC241">
        <v>278</v>
      </c>
      <c r="AD241" t="str">
        <f>_xlfn.IFNA(_xlfn.IFS(AC241&gt;Dash!$G$46, "Big", AC241&lt;Dash!$G$49, "Small", AC241&gt;Dash!$G$47, "Good"), "Norm")</f>
        <v>Good</v>
      </c>
      <c r="AE241">
        <v>180.5</v>
      </c>
      <c r="AF241" t="str">
        <f>_xlfn.IFNA(_xlfn.IFS(AE241&gt;Dash!$H$46, "Big", AE241&lt;Dash!$H$49, "Small", AE241&gt;Dash!$H$47, "Good"), "Norm")</f>
        <v>Good</v>
      </c>
      <c r="AG241">
        <v>58.5</v>
      </c>
      <c r="AH241" t="str">
        <f>_xlfn.IFNA(_xlfn.IFS(AG241&gt;Dash!$I$46, "Big", AG241&lt;Dash!$I$49, "Small", AG241&gt;Dash!$I$47, "Good"), "Norm")</f>
        <v>Good</v>
      </c>
    </row>
    <row r="242" spans="1:34" x14ac:dyDescent="0.25">
      <c r="A242" s="1">
        <v>45519</v>
      </c>
      <c r="B242" t="s">
        <v>36</v>
      </c>
      <c r="C242" t="s">
        <v>13</v>
      </c>
      <c r="D242" t="s">
        <v>28</v>
      </c>
      <c r="E242">
        <v>465</v>
      </c>
      <c r="F242">
        <v>2200</v>
      </c>
      <c r="G242">
        <v>100</v>
      </c>
      <c r="J242" t="s">
        <v>29</v>
      </c>
      <c r="K242" t="s">
        <v>31</v>
      </c>
      <c r="L242" t="s">
        <v>32</v>
      </c>
      <c r="M242" t="s">
        <v>19</v>
      </c>
      <c r="N242">
        <v>8</v>
      </c>
      <c r="R242" t="s">
        <v>41</v>
      </c>
      <c r="S242" t="s">
        <v>28</v>
      </c>
      <c r="T242">
        <v>213.25</v>
      </c>
      <c r="U242" t="str">
        <f>_xlfn.IFNA(_xlfn.IFS(E242&gt;Dash!$D$46, "Big", E242&lt;Dash!$D$49, "Small", E242&gt;Dash!$D$47, "Good"), "Norm")</f>
        <v>Big</v>
      </c>
      <c r="V242" t="s">
        <v>33</v>
      </c>
      <c r="W242">
        <v>278</v>
      </c>
      <c r="X242" t="s">
        <v>28</v>
      </c>
      <c r="Y242">
        <v>124.25</v>
      </c>
      <c r="Z242" t="str">
        <f>_xlfn.IFNA(_xlfn.IFS(Y242&gt;Dash!$E$46, "Big", Y242&lt;Dash!$E$49, "Small", Y242&gt;Dash!$E$47, "Good"), "Norm")</f>
        <v>Good</v>
      </c>
      <c r="AA242">
        <v>93.75</v>
      </c>
      <c r="AB242" t="str">
        <f>_xlfn.IFNA(_xlfn.IFS(AA242&gt;Dash!$F$46, "Big", AA242&lt;Dash!$F$49, "Small", AA242&gt;Dash!$F$47, "Good"), "Norm")</f>
        <v>Norm</v>
      </c>
      <c r="AC242">
        <v>408.75</v>
      </c>
      <c r="AD242" t="str">
        <f>_xlfn.IFNA(_xlfn.IFS(AC242&gt;Dash!$G$46, "Big", AC242&lt;Dash!$G$49, "Small", AC242&gt;Dash!$G$47, "Good"), "Norm")</f>
        <v>Big</v>
      </c>
      <c r="AE242">
        <v>90</v>
      </c>
      <c r="AF242" t="str">
        <f>_xlfn.IFNA(_xlfn.IFS(AE242&gt;Dash!$H$46, "Big", AE242&lt;Dash!$H$49, "Small", AE242&gt;Dash!$H$47, "Good"), "Norm")</f>
        <v>Small</v>
      </c>
      <c r="AG242">
        <v>31.5</v>
      </c>
      <c r="AH242" t="str">
        <f>_xlfn.IFNA(_xlfn.IFS(AG242&gt;Dash!$I$46, "Big", AG242&lt;Dash!$I$49, "Small", AG242&gt;Dash!$I$47, "Good"), "Norm")</f>
        <v>Norm</v>
      </c>
    </row>
    <row r="243" spans="1:34" x14ac:dyDescent="0.25">
      <c r="A243" s="1">
        <v>45520</v>
      </c>
      <c r="B243" t="s">
        <v>26</v>
      </c>
      <c r="C243" t="s">
        <v>41</v>
      </c>
      <c r="D243" t="s">
        <v>28</v>
      </c>
      <c r="E243">
        <v>213.25</v>
      </c>
      <c r="F243">
        <v>1800</v>
      </c>
      <c r="G243">
        <v>1800</v>
      </c>
      <c r="J243" t="s">
        <v>29</v>
      </c>
      <c r="K243" t="s">
        <v>22</v>
      </c>
      <c r="L243" t="s">
        <v>25</v>
      </c>
      <c r="M243" t="s">
        <v>19</v>
      </c>
      <c r="N243">
        <v>8</v>
      </c>
      <c r="O243" t="s">
        <v>61</v>
      </c>
      <c r="R243" t="s">
        <v>20</v>
      </c>
      <c r="S243" t="s">
        <v>28</v>
      </c>
      <c r="T243">
        <v>332.25</v>
      </c>
      <c r="U243" t="str">
        <f>_xlfn.IFNA(_xlfn.IFS(E243&gt;Dash!$D$46, "Big", E243&lt;Dash!$D$49, "Small", E243&gt;Dash!$D$47, "Good"), "Norm")</f>
        <v>Norm</v>
      </c>
      <c r="V243" t="s">
        <v>13</v>
      </c>
      <c r="W243">
        <v>465</v>
      </c>
      <c r="X243" t="s">
        <v>28</v>
      </c>
      <c r="Y243">
        <v>106.25</v>
      </c>
      <c r="Z243" t="str">
        <f>_xlfn.IFNA(_xlfn.IFS(Y243&gt;Dash!$E$46, "Big", Y243&lt;Dash!$E$49, "Small", Y243&gt;Dash!$E$47, "Good"), "Norm")</f>
        <v>Good</v>
      </c>
      <c r="AA243">
        <v>133.75</v>
      </c>
      <c r="AB243" t="str">
        <f>_xlfn.IFNA(_xlfn.IFS(AA243&gt;Dash!$F$46, "Big", AA243&lt;Dash!$F$49, "Small", AA243&gt;Dash!$F$47, "Good"), "Norm")</f>
        <v>Good</v>
      </c>
      <c r="AC243">
        <v>143.75</v>
      </c>
      <c r="AD243" t="str">
        <f>_xlfn.IFNA(_xlfn.IFS(AC243&gt;Dash!$G$46, "Big", AC243&lt;Dash!$G$49, "Small", AC243&gt;Dash!$G$47, "Good"), "Norm")</f>
        <v>Norm</v>
      </c>
      <c r="AE243">
        <v>96.5</v>
      </c>
      <c r="AF243" t="str">
        <f>_xlfn.IFNA(_xlfn.IFS(AE243&gt;Dash!$H$46, "Big", AE243&lt;Dash!$H$49, "Small", AE243&gt;Dash!$H$47, "Good"), "Norm")</f>
        <v>Norm</v>
      </c>
      <c r="AG243">
        <v>23.75</v>
      </c>
      <c r="AH243" t="str">
        <f>_xlfn.IFNA(_xlfn.IFS(AG243&gt;Dash!$I$46, "Big", AG243&lt;Dash!$I$49, "Small", AG243&gt;Dash!$I$47, "Good"), "Norm")</f>
        <v>Norm</v>
      </c>
    </row>
    <row r="244" spans="1:34" x14ac:dyDescent="0.25">
      <c r="A244" s="1">
        <v>45523</v>
      </c>
      <c r="B244" t="s">
        <v>23</v>
      </c>
      <c r="C244" t="s">
        <v>20</v>
      </c>
      <c r="D244" t="s">
        <v>28</v>
      </c>
      <c r="E244">
        <v>332.25</v>
      </c>
      <c r="F244">
        <v>2300</v>
      </c>
      <c r="G244">
        <v>2300</v>
      </c>
      <c r="J244" t="s">
        <v>29</v>
      </c>
      <c r="K244" t="s">
        <v>39</v>
      </c>
      <c r="L244" t="s">
        <v>44</v>
      </c>
      <c r="M244" t="s">
        <v>18</v>
      </c>
      <c r="N244">
        <v>6</v>
      </c>
      <c r="R244" t="s">
        <v>41</v>
      </c>
      <c r="S244" t="s">
        <v>43</v>
      </c>
      <c r="T244">
        <v>182</v>
      </c>
      <c r="U244" t="str">
        <f>_xlfn.IFNA(_xlfn.IFS(E244&gt;Dash!$D$46, "Big", E244&lt;Dash!$D$49, "Small", E244&gt;Dash!$D$47, "Good"), "Norm")</f>
        <v>Good</v>
      </c>
      <c r="V244" t="s">
        <v>41</v>
      </c>
      <c r="W244">
        <v>213.25</v>
      </c>
      <c r="X244" t="s">
        <v>28</v>
      </c>
      <c r="Y244">
        <v>110.25</v>
      </c>
      <c r="Z244" t="str">
        <f>_xlfn.IFNA(_xlfn.IFS(Y244&gt;Dash!$E$46, "Big", Y244&lt;Dash!$E$49, "Small", Y244&gt;Dash!$E$47, "Good"), "Norm")</f>
        <v>Good</v>
      </c>
      <c r="AA244">
        <v>93.25</v>
      </c>
      <c r="AB244" t="str">
        <f>_xlfn.IFNA(_xlfn.IFS(AA244&gt;Dash!$F$46, "Big", AA244&lt;Dash!$F$49, "Small", AA244&gt;Dash!$F$47, "Good"), "Norm")</f>
        <v>Norm</v>
      </c>
      <c r="AC244">
        <v>151</v>
      </c>
      <c r="AD244" t="str">
        <f>_xlfn.IFNA(_xlfn.IFS(AC244&gt;Dash!$G$46, "Big", AC244&lt;Dash!$G$49, "Small", AC244&gt;Dash!$G$47, "Good"), "Norm")</f>
        <v>Norm</v>
      </c>
      <c r="AE244">
        <v>241</v>
      </c>
      <c r="AF244" t="str">
        <f>_xlfn.IFNA(_xlfn.IFS(AE244&gt;Dash!$H$46, "Big", AE244&lt;Dash!$H$49, "Small", AE244&gt;Dash!$H$47, "Good"), "Norm")</f>
        <v>Big</v>
      </c>
      <c r="AG244">
        <v>39</v>
      </c>
      <c r="AH244" t="str">
        <f>_xlfn.IFNA(_xlfn.IFS(AG244&gt;Dash!$I$46, "Big", AG244&lt;Dash!$I$49, "Small", AG244&gt;Dash!$I$47, "Good"), "Norm")</f>
        <v>Good</v>
      </c>
    </row>
    <row r="245" spans="1:34" x14ac:dyDescent="0.25">
      <c r="A245" s="1">
        <v>45524</v>
      </c>
      <c r="B245" t="s">
        <v>19</v>
      </c>
      <c r="C245" t="s">
        <v>41</v>
      </c>
      <c r="D245" t="s">
        <v>43</v>
      </c>
      <c r="E245">
        <v>182</v>
      </c>
      <c r="F245">
        <v>1800</v>
      </c>
      <c r="G245">
        <v>1800</v>
      </c>
      <c r="J245" t="s">
        <v>29</v>
      </c>
      <c r="K245" t="s">
        <v>22</v>
      </c>
      <c r="L245" t="s">
        <v>25</v>
      </c>
      <c r="M245" t="s">
        <v>18</v>
      </c>
      <c r="N245">
        <v>6</v>
      </c>
      <c r="R245" t="s">
        <v>33</v>
      </c>
      <c r="S245" t="s">
        <v>28</v>
      </c>
      <c r="T245">
        <v>210.25</v>
      </c>
      <c r="U245" t="str">
        <f>_xlfn.IFNA(_xlfn.IFS(E245&gt;Dash!$D$46, "Big", E245&lt;Dash!$D$49, "Small", E245&gt;Dash!$D$47, "Good"), "Norm")</f>
        <v>Norm</v>
      </c>
      <c r="V245" t="s">
        <v>20</v>
      </c>
      <c r="W245">
        <v>332.25</v>
      </c>
      <c r="X245" t="s">
        <v>28</v>
      </c>
      <c r="Y245">
        <v>69.5</v>
      </c>
      <c r="Z245" t="str">
        <f>_xlfn.IFNA(_xlfn.IFS(Y245&gt;Dash!$E$46, "Big", Y245&lt;Dash!$E$49, "Small", Y245&gt;Dash!$E$47, "Good"), "Norm")</f>
        <v>Norm</v>
      </c>
      <c r="AA245">
        <v>81.25</v>
      </c>
      <c r="AB245" t="str">
        <f>_xlfn.IFNA(_xlfn.IFS(AA245&gt;Dash!$F$46, "Big", AA245&lt;Dash!$F$49, "Small", AA245&gt;Dash!$F$47, "Good"), "Norm")</f>
        <v>Norm</v>
      </c>
      <c r="AC245">
        <v>182</v>
      </c>
      <c r="AD245" t="str">
        <f>_xlfn.IFNA(_xlfn.IFS(AC245&gt;Dash!$G$46, "Big", AC245&lt;Dash!$G$49, "Small", AC245&gt;Dash!$G$47, "Good"), "Norm")</f>
        <v>Norm</v>
      </c>
      <c r="AE245">
        <v>119.5</v>
      </c>
      <c r="AF245" t="str">
        <f>_xlfn.IFNA(_xlfn.IFS(AE245&gt;Dash!$H$46, "Big", AE245&lt;Dash!$H$49, "Small", AE245&gt;Dash!$H$47, "Good"), "Norm")</f>
        <v>Norm</v>
      </c>
      <c r="AG245">
        <v>29.75</v>
      </c>
      <c r="AH245" t="str">
        <f>_xlfn.IFNA(_xlfn.IFS(AG245&gt;Dash!$I$46, "Big", AG245&lt;Dash!$I$49, "Small", AG245&gt;Dash!$I$47, "Good"), "Norm")</f>
        <v>Norm</v>
      </c>
    </row>
    <row r="246" spans="1:34" x14ac:dyDescent="0.25">
      <c r="A246" s="1">
        <v>45525</v>
      </c>
      <c r="B246" t="s">
        <v>18</v>
      </c>
      <c r="C246" t="s">
        <v>33</v>
      </c>
      <c r="D246" t="s">
        <v>28</v>
      </c>
      <c r="E246">
        <v>210.25</v>
      </c>
      <c r="F246">
        <v>1000</v>
      </c>
      <c r="G246">
        <v>1000</v>
      </c>
      <c r="J246" t="s">
        <v>27</v>
      </c>
      <c r="K246" t="s">
        <v>35</v>
      </c>
      <c r="L246" t="s">
        <v>17</v>
      </c>
      <c r="M246" t="s">
        <v>18</v>
      </c>
      <c r="N246">
        <v>6</v>
      </c>
      <c r="R246" t="s">
        <v>33</v>
      </c>
      <c r="S246" t="s">
        <v>48</v>
      </c>
      <c r="T246">
        <v>483.25</v>
      </c>
      <c r="U246" t="str">
        <f>_xlfn.IFNA(_xlfn.IFS(E246&gt;Dash!$D$46, "Big", E246&lt;Dash!$D$49, "Small", E246&gt;Dash!$D$47, "Good"), "Norm")</f>
        <v>Norm</v>
      </c>
      <c r="V246" t="s">
        <v>41</v>
      </c>
      <c r="W246">
        <v>182</v>
      </c>
      <c r="X246" t="s">
        <v>43</v>
      </c>
      <c r="Y246">
        <v>70</v>
      </c>
      <c r="Z246" t="str">
        <f>_xlfn.IFNA(_xlfn.IFS(Y246&gt;Dash!$E$46, "Big", Y246&lt;Dash!$E$49, "Small", Y246&gt;Dash!$E$47, "Good"), "Norm")</f>
        <v>Norm</v>
      </c>
      <c r="AA246">
        <v>71.25</v>
      </c>
      <c r="AB246" t="str">
        <f>_xlfn.IFNA(_xlfn.IFS(AA246&gt;Dash!$F$46, "Big", AA246&lt;Dash!$F$49, "Small", AA246&gt;Dash!$F$47, "Good"), "Norm")</f>
        <v>Norm</v>
      </c>
      <c r="AC246">
        <v>179.25</v>
      </c>
      <c r="AD246" t="str">
        <f>_xlfn.IFNA(_xlfn.IFS(AC246&gt;Dash!$G$46, "Big", AC246&lt;Dash!$G$49, "Small", AC246&gt;Dash!$G$47, "Good"), "Norm")</f>
        <v>Norm</v>
      </c>
      <c r="AE246">
        <v>181.75</v>
      </c>
      <c r="AF246" t="str">
        <f>_xlfn.IFNA(_xlfn.IFS(AE246&gt;Dash!$H$46, "Big", AE246&lt;Dash!$H$49, "Small", AE246&gt;Dash!$H$47, "Good"), "Norm")</f>
        <v>Good</v>
      </c>
      <c r="AG246">
        <v>44</v>
      </c>
      <c r="AH246" t="str">
        <f>_xlfn.IFNA(_xlfn.IFS(AG246&gt;Dash!$I$46, "Big", AG246&lt;Dash!$I$49, "Small", AG246&gt;Dash!$I$47, "Good"), "Norm")</f>
        <v>Good</v>
      </c>
    </row>
    <row r="247" spans="1:34" x14ac:dyDescent="0.25">
      <c r="A247" s="1">
        <v>45526</v>
      </c>
      <c r="B247" t="s">
        <v>36</v>
      </c>
      <c r="C247" t="s">
        <v>33</v>
      </c>
      <c r="D247" t="s">
        <v>48</v>
      </c>
      <c r="E247">
        <v>483.25</v>
      </c>
      <c r="F247">
        <v>700</v>
      </c>
      <c r="G247">
        <v>700</v>
      </c>
      <c r="H247">
        <v>1100</v>
      </c>
      <c r="J247" t="s">
        <v>30</v>
      </c>
      <c r="K247" t="s">
        <v>35</v>
      </c>
      <c r="L247" t="s">
        <v>17</v>
      </c>
      <c r="M247" t="s">
        <v>18</v>
      </c>
      <c r="N247">
        <v>6</v>
      </c>
      <c r="R247" t="s">
        <v>33</v>
      </c>
      <c r="S247">
        <v>1</v>
      </c>
      <c r="T247">
        <v>312.5</v>
      </c>
      <c r="U247" t="str">
        <f>_xlfn.IFNA(_xlfn.IFS(E247&gt;Dash!$D$46, "Big", E247&lt;Dash!$D$49, "Small", E247&gt;Dash!$D$47, "Good"), "Norm")</f>
        <v>Big</v>
      </c>
      <c r="V247" t="s">
        <v>33</v>
      </c>
      <c r="W247">
        <v>210.25</v>
      </c>
      <c r="X247" t="s">
        <v>28</v>
      </c>
      <c r="Y247">
        <v>78.25</v>
      </c>
      <c r="Z247" t="str">
        <f>_xlfn.IFNA(_xlfn.IFS(Y247&gt;Dash!$E$46, "Big", Y247&lt;Dash!$E$49, "Small", Y247&gt;Dash!$E$47, "Good"), "Norm")</f>
        <v>Good</v>
      </c>
      <c r="AA247">
        <v>99.75</v>
      </c>
      <c r="AB247" t="str">
        <f>_xlfn.IFNA(_xlfn.IFS(AA247&gt;Dash!$F$46, "Big", AA247&lt;Dash!$F$49, "Small", AA247&gt;Dash!$F$47, "Good"), "Norm")</f>
        <v>Good</v>
      </c>
      <c r="AC247">
        <v>361.25</v>
      </c>
      <c r="AD247" t="str">
        <f>_xlfn.IFNA(_xlfn.IFS(AC247&gt;Dash!$G$46, "Big", AC247&lt;Dash!$G$49, "Small", AC247&gt;Dash!$G$47, "Good"), "Norm")</f>
        <v>Big</v>
      </c>
      <c r="AE247">
        <v>289.75</v>
      </c>
      <c r="AF247" t="str">
        <f>_xlfn.IFNA(_xlfn.IFS(AE247&gt;Dash!$H$46, "Big", AE247&lt;Dash!$H$49, "Small", AE247&gt;Dash!$H$47, "Good"), "Norm")</f>
        <v>Big</v>
      </c>
      <c r="AG247">
        <v>63.25</v>
      </c>
      <c r="AH247" t="str">
        <f>_xlfn.IFNA(_xlfn.IFS(AG247&gt;Dash!$I$46, "Big", AG247&lt;Dash!$I$49, "Small", AG247&gt;Dash!$I$47, "Good"), "Norm")</f>
        <v>Good</v>
      </c>
    </row>
    <row r="248" spans="1:34" x14ac:dyDescent="0.25">
      <c r="A248" s="1">
        <v>45527</v>
      </c>
      <c r="B248" t="s">
        <v>26</v>
      </c>
      <c r="C248" t="s">
        <v>33</v>
      </c>
      <c r="D248">
        <v>1</v>
      </c>
      <c r="E248">
        <v>312.5</v>
      </c>
      <c r="J248" t="s">
        <v>34</v>
      </c>
      <c r="K248" t="s">
        <v>35</v>
      </c>
      <c r="L248" t="s">
        <v>17</v>
      </c>
      <c r="M248" t="s">
        <v>18</v>
      </c>
      <c r="N248">
        <v>6</v>
      </c>
      <c r="R248" t="s">
        <v>41</v>
      </c>
      <c r="S248" t="s">
        <v>14</v>
      </c>
      <c r="T248">
        <v>296</v>
      </c>
      <c r="U248" t="str">
        <f>_xlfn.IFNA(_xlfn.IFS(E248&gt;Dash!$D$46, "Big", E248&lt;Dash!$D$49, "Small", E248&gt;Dash!$D$47, "Good"), "Norm")</f>
        <v>Good</v>
      </c>
      <c r="V248" t="s">
        <v>33</v>
      </c>
      <c r="W248">
        <v>483.25</v>
      </c>
      <c r="X248" t="s">
        <v>48</v>
      </c>
      <c r="Y248">
        <v>87.75</v>
      </c>
      <c r="Z248" t="str">
        <f>_xlfn.IFNA(_xlfn.IFS(Y248&gt;Dash!$E$46, "Big", Y248&lt;Dash!$E$49, "Small", Y248&gt;Dash!$E$47, "Good"), "Norm")</f>
        <v>Good</v>
      </c>
      <c r="AA248">
        <v>83.25</v>
      </c>
      <c r="AB248" t="str">
        <f>_xlfn.IFNA(_xlfn.IFS(AA248&gt;Dash!$F$46, "Big", AA248&lt;Dash!$F$49, "Small", AA248&gt;Dash!$F$47, "Good"), "Norm")</f>
        <v>Norm</v>
      </c>
      <c r="AC248">
        <v>281.75</v>
      </c>
      <c r="AD248" t="str">
        <f>_xlfn.IFNA(_xlfn.IFS(AC248&gt;Dash!$G$46, "Big", AC248&lt;Dash!$G$49, "Small", AC248&gt;Dash!$G$47, "Good"), "Norm")</f>
        <v>Good</v>
      </c>
      <c r="AE248">
        <v>219.5</v>
      </c>
      <c r="AF248" t="str">
        <f>_xlfn.IFNA(_xlfn.IFS(AE248&gt;Dash!$H$46, "Big", AE248&lt;Dash!$H$49, "Small", AE248&gt;Dash!$H$47, "Good"), "Norm")</f>
        <v>Good</v>
      </c>
      <c r="AG248">
        <v>25.25</v>
      </c>
      <c r="AH248" t="str">
        <f>_xlfn.IFNA(_xlfn.IFS(AG248&gt;Dash!$I$46, "Big", AG248&lt;Dash!$I$49, "Small", AG248&gt;Dash!$I$47, "Good"), "Norm")</f>
        <v>Norm</v>
      </c>
    </row>
    <row r="249" spans="1:34" x14ac:dyDescent="0.25">
      <c r="A249" s="1">
        <v>45530</v>
      </c>
      <c r="B249" t="s">
        <v>23</v>
      </c>
      <c r="C249" t="s">
        <v>41</v>
      </c>
      <c r="D249" t="s">
        <v>14</v>
      </c>
      <c r="E249">
        <v>296</v>
      </c>
      <c r="F249">
        <v>1000</v>
      </c>
      <c r="G249">
        <v>1000</v>
      </c>
      <c r="J249" t="s">
        <v>45</v>
      </c>
      <c r="K249" t="s">
        <v>22</v>
      </c>
      <c r="L249" t="s">
        <v>25</v>
      </c>
      <c r="M249" t="s">
        <v>19</v>
      </c>
      <c r="N249">
        <v>4</v>
      </c>
      <c r="R249" t="s">
        <v>33</v>
      </c>
      <c r="S249" t="s">
        <v>46</v>
      </c>
      <c r="T249">
        <v>252.75</v>
      </c>
      <c r="U249" t="str">
        <f>_xlfn.IFNA(_xlfn.IFS(E249&gt;Dash!$D$46, "Big", E249&lt;Dash!$D$49, "Small", E249&gt;Dash!$D$47, "Good"), "Norm")</f>
        <v>Good</v>
      </c>
      <c r="V249" t="s">
        <v>33</v>
      </c>
      <c r="W249">
        <v>312.5</v>
      </c>
      <c r="X249">
        <v>1</v>
      </c>
      <c r="Y249">
        <v>116.25</v>
      </c>
      <c r="Z249" t="str">
        <f>_xlfn.IFNA(_xlfn.IFS(Y249&gt;Dash!$E$46, "Big", Y249&lt;Dash!$E$49, "Small", Y249&gt;Dash!$E$47, "Good"), "Norm")</f>
        <v>Good</v>
      </c>
      <c r="AA249">
        <v>101.25</v>
      </c>
      <c r="AB249" t="str">
        <f>_xlfn.IFNA(_xlfn.IFS(AA249&gt;Dash!$F$46, "Big", AA249&lt;Dash!$F$49, "Small", AA249&gt;Dash!$F$47, "Good"), "Norm")</f>
        <v>Good</v>
      </c>
      <c r="AC249">
        <v>296</v>
      </c>
      <c r="AD249" t="str">
        <f>_xlfn.IFNA(_xlfn.IFS(AC249&gt;Dash!$G$46, "Big", AC249&lt;Dash!$G$49, "Small", AC249&gt;Dash!$G$47, "Good"), "Norm")</f>
        <v>Good</v>
      </c>
      <c r="AE249">
        <v>129</v>
      </c>
      <c r="AF249" t="str">
        <f>_xlfn.IFNA(_xlfn.IFS(AE249&gt;Dash!$H$46, "Big", AE249&lt;Dash!$H$49, "Small", AE249&gt;Dash!$H$47, "Good"), "Norm")</f>
        <v>Norm</v>
      </c>
      <c r="AG249">
        <v>49</v>
      </c>
      <c r="AH249" t="str">
        <f>_xlfn.IFNA(_xlfn.IFS(AG249&gt;Dash!$I$46, "Big", AG249&lt;Dash!$I$49, "Small", AG249&gt;Dash!$I$47, "Good"), "Norm")</f>
        <v>Good</v>
      </c>
    </row>
    <row r="250" spans="1:34" x14ac:dyDescent="0.25">
      <c r="A250" s="1">
        <v>45531</v>
      </c>
      <c r="B250" t="s">
        <v>19</v>
      </c>
      <c r="C250" t="s">
        <v>33</v>
      </c>
      <c r="D250" t="s">
        <v>46</v>
      </c>
      <c r="E250">
        <v>252.75</v>
      </c>
      <c r="F250">
        <v>800</v>
      </c>
      <c r="G250">
        <v>800</v>
      </c>
      <c r="J250" t="s">
        <v>45</v>
      </c>
      <c r="K250" t="s">
        <v>25</v>
      </c>
      <c r="L250" t="s">
        <v>35</v>
      </c>
      <c r="M250" t="s">
        <v>19</v>
      </c>
      <c r="N250">
        <v>4</v>
      </c>
      <c r="R250" t="s">
        <v>20</v>
      </c>
      <c r="S250" t="s">
        <v>14</v>
      </c>
      <c r="T250">
        <v>378</v>
      </c>
      <c r="U250" t="str">
        <f>_xlfn.IFNA(_xlfn.IFS(E250&gt;Dash!$D$46, "Big", E250&lt;Dash!$D$49, "Small", E250&gt;Dash!$D$47, "Good"), "Norm")</f>
        <v>Good</v>
      </c>
      <c r="V250" t="s">
        <v>41</v>
      </c>
      <c r="W250">
        <v>296</v>
      </c>
      <c r="X250" t="s">
        <v>14</v>
      </c>
      <c r="Y250">
        <v>100.5</v>
      </c>
      <c r="Z250" t="str">
        <f>_xlfn.IFNA(_xlfn.IFS(Y250&gt;Dash!$E$46, "Big", Y250&lt;Dash!$E$49, "Small", Y250&gt;Dash!$E$47, "Good"), "Norm")</f>
        <v>Good</v>
      </c>
      <c r="AA250">
        <v>93</v>
      </c>
      <c r="AB250" t="str">
        <f>_xlfn.IFNA(_xlfn.IFS(AA250&gt;Dash!$F$46, "Big", AA250&lt;Dash!$F$49, "Small", AA250&gt;Dash!$F$47, "Good"), "Norm")</f>
        <v>Norm</v>
      </c>
      <c r="AC250">
        <v>252.75</v>
      </c>
      <c r="AD250" t="str">
        <f>_xlfn.IFNA(_xlfn.IFS(AC250&gt;Dash!$G$46, "Big", AC250&lt;Dash!$G$49, "Small", AC250&gt;Dash!$G$47, "Good"), "Norm")</f>
        <v>Good</v>
      </c>
      <c r="AE250">
        <v>109.5</v>
      </c>
      <c r="AF250" t="str">
        <f>_xlfn.IFNA(_xlfn.IFS(AE250&gt;Dash!$H$46, "Big", AE250&lt;Dash!$H$49, "Small", AE250&gt;Dash!$H$47, "Good"), "Norm")</f>
        <v>Norm</v>
      </c>
      <c r="AG250">
        <v>35.75</v>
      </c>
      <c r="AH250" t="str">
        <f>_xlfn.IFNA(_xlfn.IFS(AG250&gt;Dash!$I$46, "Big", AG250&lt;Dash!$I$49, "Small", AG250&gt;Dash!$I$47, "Good"), "Norm")</f>
        <v>Norm</v>
      </c>
    </row>
    <row r="251" spans="1:34" x14ac:dyDescent="0.25">
      <c r="A251" s="1">
        <v>45532</v>
      </c>
      <c r="B251" t="s">
        <v>18</v>
      </c>
      <c r="C251" t="s">
        <v>20</v>
      </c>
      <c r="D251" t="s">
        <v>14</v>
      </c>
      <c r="E251">
        <v>378</v>
      </c>
      <c r="F251">
        <v>1100</v>
      </c>
      <c r="J251" t="s">
        <v>45</v>
      </c>
      <c r="K251" t="s">
        <v>22</v>
      </c>
      <c r="L251" t="s">
        <v>42</v>
      </c>
      <c r="M251" t="s">
        <v>19</v>
      </c>
      <c r="N251">
        <v>4</v>
      </c>
      <c r="O251" t="s">
        <v>66</v>
      </c>
      <c r="R251" t="s">
        <v>24</v>
      </c>
      <c r="S251" t="s">
        <v>47</v>
      </c>
      <c r="T251">
        <v>356.5</v>
      </c>
      <c r="U251" t="str">
        <f>_xlfn.IFNA(_xlfn.IFS(E251&gt;Dash!$D$46, "Big", E251&lt;Dash!$D$49, "Small", E251&gt;Dash!$D$47, "Good"), "Norm")</f>
        <v>Good</v>
      </c>
      <c r="V251" t="s">
        <v>33</v>
      </c>
      <c r="W251">
        <v>252.75</v>
      </c>
      <c r="X251" t="s">
        <v>46</v>
      </c>
      <c r="Y251">
        <v>84.25</v>
      </c>
      <c r="Z251" t="str">
        <f>_xlfn.IFNA(_xlfn.IFS(Y251&gt;Dash!$E$46, "Big", Y251&lt;Dash!$E$49, "Small", Y251&gt;Dash!$E$47, "Good"), "Norm")</f>
        <v>Good</v>
      </c>
      <c r="AA251">
        <v>81.5</v>
      </c>
      <c r="AB251" t="str">
        <f>_xlfn.IFNA(_xlfn.IFS(AA251&gt;Dash!$F$46, "Big", AA251&lt;Dash!$F$49, "Small", AA251&gt;Dash!$F$47, "Good"), "Norm")</f>
        <v>Norm</v>
      </c>
      <c r="AC251">
        <v>317.25</v>
      </c>
      <c r="AD251" t="str">
        <f>_xlfn.IFNA(_xlfn.IFS(AC251&gt;Dash!$G$46, "Big", AC251&lt;Dash!$G$49, "Small", AC251&gt;Dash!$G$47, "Good"), "Norm")</f>
        <v>Big</v>
      </c>
      <c r="AE251">
        <v>204.25</v>
      </c>
      <c r="AF251" t="str">
        <f>_xlfn.IFNA(_xlfn.IFS(AE251&gt;Dash!$H$46, "Big", AE251&lt;Dash!$H$49, "Small", AE251&gt;Dash!$H$47, "Good"), "Norm")</f>
        <v>Good</v>
      </c>
      <c r="AG251">
        <v>232.75</v>
      </c>
      <c r="AH251" t="str">
        <f>_xlfn.IFNA(_xlfn.IFS(AG251&gt;Dash!$I$46, "Big", AG251&lt;Dash!$I$49, "Small", AG251&gt;Dash!$I$47, "Good"), "Norm")</f>
        <v>Big</v>
      </c>
    </row>
    <row r="252" spans="1:34" x14ac:dyDescent="0.25">
      <c r="A252" s="1">
        <v>45533</v>
      </c>
      <c r="B252" t="s">
        <v>36</v>
      </c>
      <c r="C252" t="s">
        <v>24</v>
      </c>
      <c r="D252" t="s">
        <v>47</v>
      </c>
      <c r="E252">
        <v>356.5</v>
      </c>
      <c r="F252">
        <v>1800</v>
      </c>
      <c r="G252">
        <v>2000</v>
      </c>
      <c r="J252" t="s">
        <v>37</v>
      </c>
      <c r="K252" t="s">
        <v>31</v>
      </c>
      <c r="L252" t="s">
        <v>35</v>
      </c>
      <c r="M252" t="s">
        <v>19</v>
      </c>
      <c r="N252">
        <v>4</v>
      </c>
      <c r="R252" t="s">
        <v>33</v>
      </c>
      <c r="S252">
        <v>1</v>
      </c>
      <c r="T252">
        <v>262.25</v>
      </c>
      <c r="U252" t="str">
        <f>_xlfn.IFNA(_xlfn.IFS(E252&gt;Dash!$D$46, "Big", E252&lt;Dash!$D$49, "Small", E252&gt;Dash!$D$47, "Good"), "Norm")</f>
        <v>Good</v>
      </c>
      <c r="V252" t="s">
        <v>20</v>
      </c>
      <c r="W252">
        <v>378</v>
      </c>
      <c r="X252" t="s">
        <v>14</v>
      </c>
      <c r="Y252">
        <v>189.25</v>
      </c>
      <c r="Z252" t="str">
        <f>_xlfn.IFNA(_xlfn.IFS(Y252&gt;Dash!$E$46, "Big", Y252&lt;Dash!$E$49, "Small", Y252&gt;Dash!$E$47, "Good"), "Norm")</f>
        <v>Big</v>
      </c>
      <c r="AA252">
        <v>207.5</v>
      </c>
      <c r="AB252" t="str">
        <f>_xlfn.IFNA(_xlfn.IFS(AA252&gt;Dash!$F$46, "Big", AA252&lt;Dash!$F$49, "Small", AA252&gt;Dash!$F$47, "Good"), "Norm")</f>
        <v>Big</v>
      </c>
      <c r="AC252">
        <v>249.75</v>
      </c>
      <c r="AD252" t="str">
        <f>_xlfn.IFNA(_xlfn.IFS(AC252&gt;Dash!$G$46, "Big", AC252&lt;Dash!$G$49, "Small", AC252&gt;Dash!$G$47, "Good"), "Norm")</f>
        <v>Good</v>
      </c>
      <c r="AE252">
        <v>353</v>
      </c>
      <c r="AF252" t="str">
        <f>_xlfn.IFNA(_xlfn.IFS(AE252&gt;Dash!$H$46, "Big", AE252&lt;Dash!$H$49, "Small", AE252&gt;Dash!$H$47, "Good"), "Norm")</f>
        <v>Big</v>
      </c>
      <c r="AG252">
        <v>64</v>
      </c>
      <c r="AH252" t="str">
        <f>_xlfn.IFNA(_xlfn.IFS(AG252&gt;Dash!$I$46, "Big", AG252&lt;Dash!$I$49, "Small", AG252&gt;Dash!$I$47, "Good"), "Norm")</f>
        <v>Good</v>
      </c>
    </row>
    <row r="253" spans="1:34" x14ac:dyDescent="0.25">
      <c r="A253" s="1">
        <v>45534</v>
      </c>
      <c r="B253" t="s">
        <v>26</v>
      </c>
      <c r="C253" t="s">
        <v>33</v>
      </c>
      <c r="D253">
        <v>1</v>
      </c>
      <c r="E253">
        <v>262.25</v>
      </c>
      <c r="J253" t="s">
        <v>34</v>
      </c>
      <c r="K253" t="s">
        <v>17</v>
      </c>
      <c r="L253" t="s">
        <v>32</v>
      </c>
      <c r="M253" t="s">
        <v>19</v>
      </c>
      <c r="N253">
        <v>4</v>
      </c>
      <c r="R253" t="s">
        <v>13</v>
      </c>
      <c r="S253" t="s">
        <v>48</v>
      </c>
      <c r="T253">
        <v>611.25</v>
      </c>
      <c r="U253" t="str">
        <f>_xlfn.IFNA(_xlfn.IFS(E253&gt;Dash!$D$46, "Big", E253&lt;Dash!$D$49, "Small", E253&gt;Dash!$D$47, "Good"), "Norm")</f>
        <v>Good</v>
      </c>
      <c r="V253" t="s">
        <v>24</v>
      </c>
      <c r="W253">
        <v>356.5</v>
      </c>
      <c r="X253" t="s">
        <v>47</v>
      </c>
      <c r="Y253">
        <v>88</v>
      </c>
      <c r="Z253" t="str">
        <f>_xlfn.IFNA(_xlfn.IFS(Y253&gt;Dash!$E$46, "Big", Y253&lt;Dash!$E$49, "Small", Y253&gt;Dash!$E$47, "Good"), "Norm")</f>
        <v>Good</v>
      </c>
      <c r="AA253">
        <v>95</v>
      </c>
      <c r="AB253" t="str">
        <f>_xlfn.IFNA(_xlfn.IFS(AA253&gt;Dash!$F$46, "Big", AA253&lt;Dash!$F$49, "Small", AA253&gt;Dash!$F$47, "Good"), "Norm")</f>
        <v>Norm</v>
      </c>
      <c r="AC253">
        <v>214.5</v>
      </c>
      <c r="AD253" t="str">
        <f>_xlfn.IFNA(_xlfn.IFS(AC253&gt;Dash!$G$46, "Big", AC253&lt;Dash!$G$49, "Small", AC253&gt;Dash!$G$47, "Good"), "Norm")</f>
        <v>Good</v>
      </c>
      <c r="AE253">
        <v>262.25</v>
      </c>
      <c r="AF253" t="str">
        <f>_xlfn.IFNA(_xlfn.IFS(AE253&gt;Dash!$H$46, "Big", AE253&lt;Dash!$H$49, "Small", AE253&gt;Dash!$H$47, "Good"), "Norm")</f>
        <v>Big</v>
      </c>
      <c r="AG253">
        <v>35</v>
      </c>
      <c r="AH253" t="str">
        <f>_xlfn.IFNA(_xlfn.IFS(AG253&gt;Dash!$I$46, "Big", AG253&lt;Dash!$I$49, "Small", AG253&gt;Dash!$I$47, "Good"), "Norm")</f>
        <v>Norm</v>
      </c>
    </row>
    <row r="254" spans="1:34" x14ac:dyDescent="0.25">
      <c r="A254" s="1">
        <v>45538</v>
      </c>
      <c r="B254" t="s">
        <v>19</v>
      </c>
      <c r="C254" t="s">
        <v>13</v>
      </c>
      <c r="D254" t="s">
        <v>48</v>
      </c>
      <c r="E254">
        <v>611.25</v>
      </c>
      <c r="F254">
        <v>1800</v>
      </c>
      <c r="G254">
        <v>1900</v>
      </c>
      <c r="H254">
        <v>900</v>
      </c>
      <c r="J254" t="s">
        <v>29</v>
      </c>
      <c r="K254" t="s">
        <v>16</v>
      </c>
      <c r="L254" t="s">
        <v>17</v>
      </c>
      <c r="M254" t="s">
        <v>19</v>
      </c>
      <c r="N254">
        <v>9</v>
      </c>
      <c r="R254" t="s">
        <v>24</v>
      </c>
      <c r="S254" t="s">
        <v>46</v>
      </c>
      <c r="T254">
        <v>276.5</v>
      </c>
      <c r="U254" t="str">
        <f>_xlfn.IFNA(_xlfn.IFS(E254&gt;Dash!$D$46, "Big", E254&lt;Dash!$D$49, "Small", E254&gt;Dash!$D$47, "Good"), "Norm")</f>
        <v>Big</v>
      </c>
      <c r="V254" t="s">
        <v>33</v>
      </c>
      <c r="W254">
        <v>262.25</v>
      </c>
      <c r="X254">
        <v>1</v>
      </c>
      <c r="Y254">
        <v>169</v>
      </c>
      <c r="Z254" t="str">
        <f>_xlfn.IFNA(_xlfn.IFS(Y254&gt;Dash!$E$46, "Big", Y254&lt;Dash!$E$49, "Small", Y254&gt;Dash!$E$47, "Good"), "Norm")</f>
        <v>Big</v>
      </c>
      <c r="AA254">
        <v>199.25</v>
      </c>
      <c r="AB254" t="str">
        <f>_xlfn.IFNA(_xlfn.IFS(AA254&gt;Dash!$F$46, "Big", AA254&lt;Dash!$F$49, "Small", AA254&gt;Dash!$F$47, "Good"), "Norm")</f>
        <v>Big</v>
      </c>
      <c r="AC254">
        <v>379.25</v>
      </c>
      <c r="AD254" t="str">
        <f>_xlfn.IFNA(_xlfn.IFS(AC254&gt;Dash!$G$46, "Big", AC254&lt;Dash!$G$49, "Small", AC254&gt;Dash!$G$47, "Good"), "Norm")</f>
        <v>Big</v>
      </c>
      <c r="AE254">
        <v>294</v>
      </c>
      <c r="AF254" t="str">
        <f>_xlfn.IFNA(_xlfn.IFS(AE254&gt;Dash!$H$46, "Big", AE254&lt;Dash!$H$49, "Small", AE254&gt;Dash!$H$47, "Good"), "Norm")</f>
        <v>Big</v>
      </c>
      <c r="AG254">
        <v>68</v>
      </c>
      <c r="AH254" t="str">
        <f>_xlfn.IFNA(_xlfn.IFS(AG254&gt;Dash!$I$46, "Big", AG254&lt;Dash!$I$49, "Small", AG254&gt;Dash!$I$47, "Good"), "Norm")</f>
        <v>Good</v>
      </c>
    </row>
    <row r="255" spans="1:34" x14ac:dyDescent="0.25">
      <c r="A255" s="1">
        <v>45539</v>
      </c>
      <c r="B255" t="s">
        <v>18</v>
      </c>
      <c r="C255" t="s">
        <v>24</v>
      </c>
      <c r="D255" t="s">
        <v>46</v>
      </c>
      <c r="E255">
        <v>276.5</v>
      </c>
      <c r="F255">
        <v>2000</v>
      </c>
      <c r="G255">
        <v>500</v>
      </c>
      <c r="J255" t="s">
        <v>37</v>
      </c>
      <c r="K255" t="s">
        <v>31</v>
      </c>
      <c r="L255" t="s">
        <v>35</v>
      </c>
      <c r="M255" t="s">
        <v>19</v>
      </c>
      <c r="N255">
        <v>9</v>
      </c>
      <c r="R255" t="s">
        <v>33</v>
      </c>
      <c r="S255" t="s">
        <v>43</v>
      </c>
      <c r="T255">
        <v>323.25</v>
      </c>
      <c r="U255" t="str">
        <f>_xlfn.IFNA(_xlfn.IFS(E255&gt;Dash!$D$46, "Big", E255&lt;Dash!$D$49, "Small", E255&gt;Dash!$D$47, "Good"), "Norm")</f>
        <v>Good</v>
      </c>
      <c r="V255" t="s">
        <v>13</v>
      </c>
      <c r="W255">
        <v>611.25</v>
      </c>
      <c r="X255" t="s">
        <v>48</v>
      </c>
      <c r="Y255">
        <v>180</v>
      </c>
      <c r="Z255" t="str">
        <f>_xlfn.IFNA(_xlfn.IFS(Y255&gt;Dash!$E$46, "Big", Y255&lt;Dash!$E$49, "Small", Y255&gt;Dash!$E$47, "Good"), "Norm")</f>
        <v>Big</v>
      </c>
      <c r="AA255">
        <v>112.5</v>
      </c>
      <c r="AB255" t="str">
        <f>_xlfn.IFNA(_xlfn.IFS(AA255&gt;Dash!$F$46, "Big", AA255&lt;Dash!$F$49, "Small", AA255&gt;Dash!$F$47, "Good"), "Norm")</f>
        <v>Good</v>
      </c>
      <c r="AC255">
        <v>276.5</v>
      </c>
      <c r="AD255" t="str">
        <f>_xlfn.IFNA(_xlfn.IFS(AC255&gt;Dash!$G$46, "Big", AC255&lt;Dash!$G$49, "Small", AC255&gt;Dash!$G$47, "Good"), "Norm")</f>
        <v>Good</v>
      </c>
      <c r="AE255">
        <v>180</v>
      </c>
      <c r="AF255" t="str">
        <f>_xlfn.IFNA(_xlfn.IFS(AE255&gt;Dash!$H$46, "Big", AE255&lt;Dash!$H$49, "Small", AE255&gt;Dash!$H$47, "Good"), "Norm")</f>
        <v>Good</v>
      </c>
      <c r="AG255">
        <v>46.75</v>
      </c>
      <c r="AH255" t="str">
        <f>_xlfn.IFNA(_xlfn.IFS(AG255&gt;Dash!$I$46, "Big", AG255&lt;Dash!$I$49, "Small", AG255&gt;Dash!$I$47, "Good"), "Norm")</f>
        <v>Good</v>
      </c>
    </row>
    <row r="256" spans="1:34" x14ac:dyDescent="0.25">
      <c r="A256" s="1">
        <v>45540</v>
      </c>
      <c r="B256" t="s">
        <v>36</v>
      </c>
      <c r="C256" t="s">
        <v>33</v>
      </c>
      <c r="D256" t="s">
        <v>43</v>
      </c>
      <c r="E256">
        <v>323.25</v>
      </c>
      <c r="F256">
        <v>1000</v>
      </c>
      <c r="G256">
        <v>1000</v>
      </c>
      <c r="J256" t="s">
        <v>27</v>
      </c>
      <c r="K256" t="s">
        <v>25</v>
      </c>
      <c r="L256" t="s">
        <v>35</v>
      </c>
      <c r="M256" t="s">
        <v>19</v>
      </c>
      <c r="N256">
        <v>9</v>
      </c>
      <c r="R256" t="s">
        <v>33</v>
      </c>
      <c r="S256" t="s">
        <v>14</v>
      </c>
      <c r="T256">
        <v>542</v>
      </c>
      <c r="U256" t="str">
        <f>_xlfn.IFNA(_xlfn.IFS(E256&gt;Dash!$D$46, "Big", E256&lt;Dash!$D$49, "Small", E256&gt;Dash!$D$47, "Good"), "Norm")</f>
        <v>Good</v>
      </c>
      <c r="V256" t="s">
        <v>24</v>
      </c>
      <c r="W256">
        <v>276.5</v>
      </c>
      <c r="X256" t="s">
        <v>46</v>
      </c>
      <c r="Y256">
        <v>122</v>
      </c>
      <c r="Z256" t="str">
        <f>_xlfn.IFNA(_xlfn.IFS(Y256&gt;Dash!$E$46, "Big", Y256&lt;Dash!$E$49, "Small", Y256&gt;Dash!$E$47, "Good"), "Norm")</f>
        <v>Good</v>
      </c>
      <c r="AA256">
        <v>114.25</v>
      </c>
      <c r="AB256" t="str">
        <f>_xlfn.IFNA(_xlfn.IFS(AA256&gt;Dash!$F$46, "Big", AA256&lt;Dash!$F$49, "Small", AA256&gt;Dash!$F$47, "Good"), "Norm")</f>
        <v>Good</v>
      </c>
      <c r="AC256">
        <v>323.25</v>
      </c>
      <c r="AD256" t="str">
        <f>_xlfn.IFNA(_xlfn.IFS(AC256&gt;Dash!$G$46, "Big", AC256&lt;Dash!$G$49, "Small", AC256&gt;Dash!$G$47, "Good"), "Norm")</f>
        <v>Big</v>
      </c>
      <c r="AE256">
        <v>183.25</v>
      </c>
      <c r="AF256" t="str">
        <f>_xlfn.IFNA(_xlfn.IFS(AE256&gt;Dash!$H$46, "Big", AE256&lt;Dash!$H$49, "Small", AE256&gt;Dash!$H$47, "Good"), "Norm")</f>
        <v>Good</v>
      </c>
      <c r="AG256">
        <v>128.5</v>
      </c>
      <c r="AH256" t="str">
        <f>_xlfn.IFNA(_xlfn.IFS(AG256&gt;Dash!$I$46, "Big", AG256&lt;Dash!$I$49, "Small", AG256&gt;Dash!$I$47, "Good"), "Norm")</f>
        <v>Big</v>
      </c>
    </row>
    <row r="257" spans="1:34" x14ac:dyDescent="0.25">
      <c r="A257" s="1">
        <v>45541</v>
      </c>
      <c r="B257" t="s">
        <v>26</v>
      </c>
      <c r="C257" t="s">
        <v>33</v>
      </c>
      <c r="D257" t="s">
        <v>14</v>
      </c>
      <c r="E257">
        <v>542</v>
      </c>
      <c r="F257">
        <v>2100</v>
      </c>
      <c r="G257">
        <v>2100</v>
      </c>
      <c r="J257" t="s">
        <v>37</v>
      </c>
      <c r="K257" t="s">
        <v>35</v>
      </c>
      <c r="L257" t="s">
        <v>42</v>
      </c>
      <c r="M257" t="s">
        <v>19</v>
      </c>
      <c r="N257">
        <v>9</v>
      </c>
      <c r="R257" t="s">
        <v>13</v>
      </c>
      <c r="S257">
        <v>1</v>
      </c>
      <c r="T257">
        <v>232.75</v>
      </c>
      <c r="U257" t="str">
        <f>_xlfn.IFNA(_xlfn.IFS(E257&gt;Dash!$D$46, "Big", E257&lt;Dash!$D$49, "Small", E257&gt;Dash!$D$47, "Good"), "Norm")</f>
        <v>Big</v>
      </c>
      <c r="V257" t="s">
        <v>33</v>
      </c>
      <c r="W257">
        <v>323.25</v>
      </c>
      <c r="X257" t="s">
        <v>43</v>
      </c>
      <c r="Y257">
        <v>142.75</v>
      </c>
      <c r="Z257" t="str">
        <f>_xlfn.IFNA(_xlfn.IFS(Y257&gt;Dash!$E$46, "Big", Y257&lt;Dash!$E$49, "Small", Y257&gt;Dash!$E$47, "Good"), "Norm")</f>
        <v>Big</v>
      </c>
      <c r="AA257">
        <v>183</v>
      </c>
      <c r="AB257" t="str">
        <f>_xlfn.IFNA(_xlfn.IFS(AA257&gt;Dash!$F$46, "Big", AA257&lt;Dash!$F$49, "Small", AA257&gt;Dash!$F$47, "Good"), "Norm")</f>
        <v>Big</v>
      </c>
      <c r="AC257">
        <v>526.5</v>
      </c>
      <c r="AD257" t="str">
        <f>_xlfn.IFNA(_xlfn.IFS(AC257&gt;Dash!$G$46, "Big", AC257&lt;Dash!$G$49, "Small", AC257&gt;Dash!$G$47, "Good"), "Norm")</f>
        <v>Big</v>
      </c>
      <c r="AE257">
        <v>115.5</v>
      </c>
      <c r="AF257" t="str">
        <f>_xlfn.IFNA(_xlfn.IFS(AE257&gt;Dash!$H$46, "Big", AE257&lt;Dash!$H$49, "Small", AE257&gt;Dash!$H$47, "Good"), "Norm")</f>
        <v>Norm</v>
      </c>
      <c r="AG257">
        <v>120.75</v>
      </c>
      <c r="AH257" t="str">
        <f>_xlfn.IFNA(_xlfn.IFS(AG257&gt;Dash!$I$46, "Big", AG257&lt;Dash!$I$49, "Small", AG257&gt;Dash!$I$47, "Good"), "Norm")</f>
        <v>Big</v>
      </c>
    </row>
    <row r="258" spans="1:34" x14ac:dyDescent="0.25">
      <c r="A258" s="1">
        <v>45544</v>
      </c>
      <c r="B258" t="s">
        <v>23</v>
      </c>
      <c r="C258" t="s">
        <v>13</v>
      </c>
      <c r="D258">
        <v>1</v>
      </c>
      <c r="E258">
        <v>232.75</v>
      </c>
      <c r="J258" t="s">
        <v>34</v>
      </c>
      <c r="K258" t="s">
        <v>31</v>
      </c>
      <c r="L258" t="s">
        <v>32</v>
      </c>
      <c r="M258" t="s">
        <v>18</v>
      </c>
      <c r="N258">
        <v>6</v>
      </c>
      <c r="R258" t="s">
        <v>20</v>
      </c>
      <c r="S258" t="s">
        <v>28</v>
      </c>
      <c r="T258">
        <v>288.75</v>
      </c>
      <c r="U258" t="str">
        <f>_xlfn.IFNA(_xlfn.IFS(E258&gt;Dash!$D$46, "Big", E258&lt;Dash!$D$49, "Small", E258&gt;Dash!$D$47, "Good"), "Norm")</f>
        <v>Norm</v>
      </c>
      <c r="V258" t="s">
        <v>33</v>
      </c>
      <c r="W258">
        <v>542</v>
      </c>
      <c r="X258" t="s">
        <v>14</v>
      </c>
      <c r="Y258">
        <v>198.5</v>
      </c>
      <c r="Z258" t="str">
        <f>_xlfn.IFNA(_xlfn.IFS(Y258&gt;Dash!$E$46, "Big", Y258&lt;Dash!$E$49, "Small", Y258&gt;Dash!$E$47, "Good"), "Norm")</f>
        <v>Big</v>
      </c>
      <c r="AA258">
        <v>99</v>
      </c>
      <c r="AB258" t="str">
        <f>_xlfn.IFNA(_xlfn.IFS(AA258&gt;Dash!$F$46, "Big", AA258&lt;Dash!$F$49, "Small", AA258&gt;Dash!$F$47, "Good"), "Norm")</f>
        <v>Good</v>
      </c>
      <c r="AC258">
        <v>223.5</v>
      </c>
      <c r="AD258" t="str">
        <f>_xlfn.IFNA(_xlfn.IFS(AC258&gt;Dash!$G$46, "Big", AC258&lt;Dash!$G$49, "Small", AC258&gt;Dash!$G$47, "Good"), "Norm")</f>
        <v>Good</v>
      </c>
      <c r="AE258">
        <v>163.25</v>
      </c>
      <c r="AF258" t="str">
        <f>_xlfn.IFNA(_xlfn.IFS(AE258&gt;Dash!$H$46, "Big", AE258&lt;Dash!$H$49, "Small", AE258&gt;Dash!$H$47, "Good"), "Norm")</f>
        <v>Good</v>
      </c>
      <c r="AG258">
        <v>55.75</v>
      </c>
      <c r="AH258" t="str">
        <f>_xlfn.IFNA(_xlfn.IFS(AG258&gt;Dash!$I$46, "Big", AG258&lt;Dash!$I$49, "Small", AG258&gt;Dash!$I$47, "Good"), "Norm")</f>
        <v>Good</v>
      </c>
    </row>
    <row r="259" spans="1:34" x14ac:dyDescent="0.25">
      <c r="A259" s="1">
        <v>45545</v>
      </c>
      <c r="B259" t="s">
        <v>19</v>
      </c>
      <c r="C259" t="s">
        <v>20</v>
      </c>
      <c r="D259" t="s">
        <v>28</v>
      </c>
      <c r="E259">
        <v>288.75</v>
      </c>
      <c r="F259">
        <v>1800</v>
      </c>
      <c r="G259">
        <v>1800</v>
      </c>
      <c r="J259" t="s">
        <v>29</v>
      </c>
      <c r="K259" t="s">
        <v>39</v>
      </c>
      <c r="L259" t="s">
        <v>32</v>
      </c>
      <c r="M259" t="s">
        <v>18</v>
      </c>
      <c r="N259">
        <v>6</v>
      </c>
      <c r="R259" t="s">
        <v>33</v>
      </c>
      <c r="S259" t="s">
        <v>52</v>
      </c>
      <c r="T259">
        <v>746.5</v>
      </c>
      <c r="U259" t="str">
        <f>_xlfn.IFNA(_xlfn.IFS(E259&gt;Dash!$D$46, "Big", E259&lt;Dash!$D$49, "Small", E259&gt;Dash!$D$47, "Good"), "Norm")</f>
        <v>Good</v>
      </c>
      <c r="V259" t="s">
        <v>13</v>
      </c>
      <c r="W259">
        <v>232.75</v>
      </c>
      <c r="X259">
        <v>1</v>
      </c>
      <c r="Y259">
        <v>129.5</v>
      </c>
      <c r="Z259" t="str">
        <f>_xlfn.IFNA(_xlfn.IFS(Y259&gt;Dash!$E$46, "Big", Y259&lt;Dash!$E$49, "Small", Y259&gt;Dash!$E$47, "Good"), "Norm")</f>
        <v>Good</v>
      </c>
      <c r="AA259">
        <v>123.75</v>
      </c>
      <c r="AB259" t="str">
        <f>_xlfn.IFNA(_xlfn.IFS(AA259&gt;Dash!$F$46, "Big", AA259&lt;Dash!$F$49, "Small", AA259&gt;Dash!$F$47, "Good"), "Norm")</f>
        <v>Good</v>
      </c>
      <c r="AC259">
        <v>199.75</v>
      </c>
      <c r="AD259" t="str">
        <f>_xlfn.IFNA(_xlfn.IFS(AC259&gt;Dash!$G$46, "Big", AC259&lt;Dash!$G$49, "Small", AC259&gt;Dash!$G$47, "Good"), "Norm")</f>
        <v>Norm</v>
      </c>
      <c r="AE259">
        <v>288.75</v>
      </c>
      <c r="AF259" t="str">
        <f>_xlfn.IFNA(_xlfn.IFS(AE259&gt;Dash!$H$46, "Big", AE259&lt;Dash!$H$49, "Small", AE259&gt;Dash!$H$47, "Good"), "Norm")</f>
        <v>Big</v>
      </c>
      <c r="AG259">
        <v>44.75</v>
      </c>
      <c r="AH259" t="str">
        <f>_xlfn.IFNA(_xlfn.IFS(AG259&gt;Dash!$I$46, "Big", AG259&lt;Dash!$I$49, "Small", AG259&gt;Dash!$I$47, "Good"), "Norm")</f>
        <v>Good</v>
      </c>
    </row>
    <row r="260" spans="1:34" x14ac:dyDescent="0.25">
      <c r="A260" s="1">
        <v>45546</v>
      </c>
      <c r="B260" t="s">
        <v>18</v>
      </c>
      <c r="C260" t="s">
        <v>33</v>
      </c>
      <c r="D260" t="s">
        <v>52</v>
      </c>
      <c r="E260">
        <v>746.5</v>
      </c>
      <c r="F260">
        <v>900</v>
      </c>
      <c r="G260">
        <v>900</v>
      </c>
      <c r="H260">
        <v>1000</v>
      </c>
      <c r="I260">
        <v>1000</v>
      </c>
      <c r="J260" t="s">
        <v>27</v>
      </c>
      <c r="K260" t="s">
        <v>25</v>
      </c>
      <c r="L260" t="s">
        <v>32</v>
      </c>
      <c r="M260" t="s">
        <v>18</v>
      </c>
      <c r="N260">
        <v>6</v>
      </c>
      <c r="R260" t="s">
        <v>33</v>
      </c>
      <c r="S260" t="s">
        <v>28</v>
      </c>
      <c r="T260">
        <v>298.5</v>
      </c>
      <c r="U260" t="str">
        <f>_xlfn.IFNA(_xlfn.IFS(E260&gt;Dash!$D$46, "Big", E260&lt;Dash!$D$49, "Small", E260&gt;Dash!$D$47, "Good"), "Norm")</f>
        <v>Big</v>
      </c>
      <c r="V260" t="s">
        <v>20</v>
      </c>
      <c r="W260">
        <v>288.75</v>
      </c>
      <c r="X260" t="s">
        <v>28</v>
      </c>
      <c r="Y260">
        <v>152</v>
      </c>
      <c r="Z260" t="str">
        <f>_xlfn.IFNA(_xlfn.IFS(Y260&gt;Dash!$E$46, "Big", Y260&lt;Dash!$E$49, "Small", Y260&gt;Dash!$E$47, "Good"), "Norm")</f>
        <v>Big</v>
      </c>
      <c r="AA260">
        <v>94.5</v>
      </c>
      <c r="AB260" t="str">
        <f>_xlfn.IFNA(_xlfn.IFS(AA260&gt;Dash!$F$46, "Big", AA260&lt;Dash!$F$49, "Small", AA260&gt;Dash!$F$47, "Good"), "Norm")</f>
        <v>Norm</v>
      </c>
      <c r="AC260">
        <v>380.5</v>
      </c>
      <c r="AD260" t="str">
        <f>_xlfn.IFNA(_xlfn.IFS(AC260&gt;Dash!$G$46, "Big", AC260&lt;Dash!$G$49, "Small", AC260&gt;Dash!$G$47, "Good"), "Norm")</f>
        <v>Big</v>
      </c>
      <c r="AE260">
        <v>509.5</v>
      </c>
      <c r="AF260" t="str">
        <f>_xlfn.IFNA(_xlfn.IFS(AE260&gt;Dash!$H$46, "Big", AE260&lt;Dash!$H$49, "Small", AE260&gt;Dash!$H$47, "Good"), "Norm")</f>
        <v>Big</v>
      </c>
      <c r="AG260">
        <v>39.5</v>
      </c>
      <c r="AH260" t="str">
        <f>_xlfn.IFNA(_xlfn.IFS(AG260&gt;Dash!$I$46, "Big", AG260&lt;Dash!$I$49, "Small", AG260&gt;Dash!$I$47, "Good"), "Norm")</f>
        <v>Good</v>
      </c>
    </row>
    <row r="261" spans="1:34" x14ac:dyDescent="0.25">
      <c r="A261" s="1">
        <v>45547</v>
      </c>
      <c r="B261" t="s">
        <v>36</v>
      </c>
      <c r="C261" t="s">
        <v>33</v>
      </c>
      <c r="D261" t="s">
        <v>28</v>
      </c>
      <c r="E261">
        <v>298.5</v>
      </c>
      <c r="F261">
        <v>2100</v>
      </c>
      <c r="G261">
        <v>2100</v>
      </c>
      <c r="J261" t="s">
        <v>29</v>
      </c>
      <c r="K261" t="s">
        <v>25</v>
      </c>
      <c r="L261" t="s">
        <v>35</v>
      </c>
      <c r="M261" t="s">
        <v>18</v>
      </c>
      <c r="N261">
        <v>6</v>
      </c>
      <c r="R261" t="s">
        <v>33</v>
      </c>
      <c r="S261" t="s">
        <v>28</v>
      </c>
      <c r="T261">
        <v>179</v>
      </c>
      <c r="U261" t="str">
        <f>_xlfn.IFNA(_xlfn.IFS(E261&gt;Dash!$D$46, "Big", E261&lt;Dash!$D$49, "Small", E261&gt;Dash!$D$47, "Good"), "Norm")</f>
        <v>Good</v>
      </c>
      <c r="V261" t="s">
        <v>33</v>
      </c>
      <c r="W261">
        <v>746.5</v>
      </c>
      <c r="X261" t="s">
        <v>52</v>
      </c>
      <c r="Y261">
        <v>103</v>
      </c>
      <c r="Z261" t="str">
        <f>_xlfn.IFNA(_xlfn.IFS(Y261&gt;Dash!$E$46, "Big", Y261&lt;Dash!$E$49, "Small", Y261&gt;Dash!$E$47, "Good"), "Norm")</f>
        <v>Good</v>
      </c>
      <c r="AA261">
        <v>83</v>
      </c>
      <c r="AB261" t="str">
        <f>_xlfn.IFNA(_xlfn.IFS(AA261&gt;Dash!$F$46, "Big", AA261&lt;Dash!$F$49, "Small", AA261&gt;Dash!$F$47, "Good"), "Norm")</f>
        <v>Norm</v>
      </c>
      <c r="AC261">
        <v>203.75</v>
      </c>
      <c r="AD261" t="str">
        <f>_xlfn.IFNA(_xlfn.IFS(AC261&gt;Dash!$G$46, "Big", AC261&lt;Dash!$G$49, "Small", AC261&gt;Dash!$G$47, "Good"), "Norm")</f>
        <v>Good</v>
      </c>
      <c r="AE261">
        <v>225.5</v>
      </c>
      <c r="AF261" t="str">
        <f>_xlfn.IFNA(_xlfn.IFS(AE261&gt;Dash!$H$46, "Big", AE261&lt;Dash!$H$49, "Small", AE261&gt;Dash!$H$47, "Good"), "Norm")</f>
        <v>Good</v>
      </c>
      <c r="AG261">
        <v>57.5</v>
      </c>
      <c r="AH261" t="str">
        <f>_xlfn.IFNA(_xlfn.IFS(AG261&gt;Dash!$I$46, "Big", AG261&lt;Dash!$I$49, "Small", AG261&gt;Dash!$I$47, "Good"), "Norm")</f>
        <v>Good</v>
      </c>
    </row>
    <row r="262" spans="1:34" x14ac:dyDescent="0.25">
      <c r="A262" s="1">
        <v>45548</v>
      </c>
      <c r="B262" t="s">
        <v>26</v>
      </c>
      <c r="C262" t="s">
        <v>33</v>
      </c>
      <c r="D262" t="s">
        <v>28</v>
      </c>
      <c r="E262">
        <v>179</v>
      </c>
      <c r="F262">
        <v>100</v>
      </c>
      <c r="G262">
        <v>100</v>
      </c>
      <c r="J262" t="s">
        <v>29</v>
      </c>
      <c r="K262" t="s">
        <v>25</v>
      </c>
      <c r="L262" t="s">
        <v>32</v>
      </c>
      <c r="M262" t="s">
        <v>18</v>
      </c>
      <c r="N262">
        <v>6</v>
      </c>
      <c r="R262" t="s">
        <v>24</v>
      </c>
      <c r="S262" t="s">
        <v>51</v>
      </c>
      <c r="T262">
        <v>168.5</v>
      </c>
      <c r="U262" t="str">
        <f>_xlfn.IFNA(_xlfn.IFS(E262&gt;Dash!$D$46, "Big", E262&lt;Dash!$D$49, "Small", E262&gt;Dash!$D$47, "Good"), "Norm")</f>
        <v>Norm</v>
      </c>
      <c r="V262" t="s">
        <v>33</v>
      </c>
      <c r="W262">
        <v>298.5</v>
      </c>
      <c r="X262" t="s">
        <v>28</v>
      </c>
      <c r="Y262">
        <v>75.25</v>
      </c>
      <c r="Z262" t="str">
        <f>_xlfn.IFNA(_xlfn.IFS(Y262&gt;Dash!$E$46, "Big", Y262&lt;Dash!$E$49, "Small", Y262&gt;Dash!$E$47, "Good"), "Norm")</f>
        <v>Norm</v>
      </c>
      <c r="AA262">
        <v>53.5</v>
      </c>
      <c r="AB262" t="str">
        <f>_xlfn.IFNA(_xlfn.IFS(AA262&gt;Dash!$F$46, "Big", AA262&lt;Dash!$F$49, "Small", AA262&gt;Dash!$F$47, "Good"), "Norm")</f>
        <v>Small</v>
      </c>
      <c r="AC262">
        <v>145.75</v>
      </c>
      <c r="AD262" t="str">
        <f>_xlfn.IFNA(_xlfn.IFS(AC262&gt;Dash!$G$46, "Big", AC262&lt;Dash!$G$49, "Small", AC262&gt;Dash!$G$47, "Good"), "Norm")</f>
        <v>Norm</v>
      </c>
      <c r="AE262">
        <v>99.25</v>
      </c>
      <c r="AF262" t="str">
        <f>_xlfn.IFNA(_xlfn.IFS(AE262&gt;Dash!$H$46, "Big", AE262&lt;Dash!$H$49, "Small", AE262&gt;Dash!$H$47, "Good"), "Norm")</f>
        <v>Norm</v>
      </c>
      <c r="AG262">
        <v>27.75</v>
      </c>
      <c r="AH262" t="str">
        <f>_xlfn.IFNA(_xlfn.IFS(AG262&gt;Dash!$I$46, "Big", AG262&lt;Dash!$I$49, "Small", AG262&gt;Dash!$I$47, "Good"), "Norm")</f>
        <v>Norm</v>
      </c>
    </row>
    <row r="263" spans="1:34" x14ac:dyDescent="0.25">
      <c r="A263" s="1">
        <v>45551</v>
      </c>
      <c r="B263" t="s">
        <v>23</v>
      </c>
      <c r="C263" t="s">
        <v>24</v>
      </c>
      <c r="D263" t="s">
        <v>51</v>
      </c>
      <c r="E263">
        <v>168.5</v>
      </c>
      <c r="F263">
        <v>1800</v>
      </c>
      <c r="G263">
        <v>1100</v>
      </c>
      <c r="J263" t="s">
        <v>29</v>
      </c>
      <c r="K263" t="s">
        <v>16</v>
      </c>
      <c r="L263" t="s">
        <v>25</v>
      </c>
      <c r="M263" t="s">
        <v>19</v>
      </c>
      <c r="N263">
        <v>7</v>
      </c>
      <c r="R263" t="s">
        <v>33</v>
      </c>
      <c r="S263" t="s">
        <v>28</v>
      </c>
      <c r="T263">
        <v>275.75</v>
      </c>
      <c r="U263" t="str">
        <f>_xlfn.IFNA(_xlfn.IFS(E263&gt;Dash!$D$46, "Big", E263&lt;Dash!$D$49, "Small", E263&gt;Dash!$D$47, "Good"), "Norm")</f>
        <v>Norm</v>
      </c>
      <c r="V263" t="s">
        <v>33</v>
      </c>
      <c r="W263">
        <v>179</v>
      </c>
      <c r="X263" t="s">
        <v>28</v>
      </c>
      <c r="Y263">
        <v>69.5</v>
      </c>
      <c r="Z263" t="str">
        <f>_xlfn.IFNA(_xlfn.IFS(Y263&gt;Dash!$E$46, "Big", Y263&lt;Dash!$E$49, "Small", Y263&gt;Dash!$E$47, "Good"), "Norm")</f>
        <v>Norm</v>
      </c>
      <c r="AA263">
        <v>101.25</v>
      </c>
      <c r="AB263" t="str">
        <f>_xlfn.IFNA(_xlfn.IFS(AA263&gt;Dash!$F$46, "Big", AA263&lt;Dash!$F$49, "Small", AA263&gt;Dash!$F$47, "Good"), "Norm")</f>
        <v>Good</v>
      </c>
      <c r="AC263">
        <v>168.5</v>
      </c>
      <c r="AD263" t="str">
        <f>_xlfn.IFNA(_xlfn.IFS(AC263&gt;Dash!$G$46, "Big", AC263&lt;Dash!$G$49, "Small", AC263&gt;Dash!$G$47, "Good"), "Norm")</f>
        <v>Norm</v>
      </c>
      <c r="AE263">
        <v>140.5</v>
      </c>
      <c r="AF263" t="str">
        <f>_xlfn.IFNA(_xlfn.IFS(AE263&gt;Dash!$H$46, "Big", AE263&lt;Dash!$H$49, "Small", AE263&gt;Dash!$H$47, "Good"), "Norm")</f>
        <v>Norm</v>
      </c>
      <c r="AG263">
        <v>24</v>
      </c>
      <c r="AH263" t="str">
        <f>_xlfn.IFNA(_xlfn.IFS(AG263&gt;Dash!$I$46, "Big", AG263&lt;Dash!$I$49, "Small", AG263&gt;Dash!$I$47, "Good"), "Norm")</f>
        <v>Norm</v>
      </c>
    </row>
    <row r="264" spans="1:34" x14ac:dyDescent="0.25">
      <c r="A264" s="1">
        <v>45552</v>
      </c>
      <c r="B264" t="s">
        <v>19</v>
      </c>
      <c r="C264" t="s">
        <v>33</v>
      </c>
      <c r="D264" t="s">
        <v>28</v>
      </c>
      <c r="E264">
        <v>275.75</v>
      </c>
      <c r="F264">
        <v>500</v>
      </c>
      <c r="G264">
        <v>500</v>
      </c>
      <c r="J264" t="s">
        <v>30</v>
      </c>
      <c r="K264" t="s">
        <v>35</v>
      </c>
      <c r="L264" t="s">
        <v>17</v>
      </c>
      <c r="M264" t="s">
        <v>19</v>
      </c>
      <c r="N264">
        <v>7</v>
      </c>
      <c r="R264" t="s">
        <v>33</v>
      </c>
      <c r="S264" t="s">
        <v>48</v>
      </c>
      <c r="T264">
        <v>342</v>
      </c>
      <c r="U264" t="str">
        <f>_xlfn.IFNA(_xlfn.IFS(E264&gt;Dash!$D$46, "Big", E264&lt;Dash!$D$49, "Small", E264&gt;Dash!$D$47, "Good"), "Norm")</f>
        <v>Good</v>
      </c>
      <c r="V264" t="s">
        <v>24</v>
      </c>
      <c r="W264">
        <v>168.5</v>
      </c>
      <c r="X264" t="s">
        <v>51</v>
      </c>
      <c r="Y264">
        <v>62.5</v>
      </c>
      <c r="Z264" t="str">
        <f>_xlfn.IFNA(_xlfn.IFS(Y264&gt;Dash!$E$46, "Big", Y264&lt;Dash!$E$49, "Small", Y264&gt;Dash!$E$47, "Good"), "Norm")</f>
        <v>Norm</v>
      </c>
      <c r="AA264">
        <v>127.5</v>
      </c>
      <c r="AB264" t="str">
        <f>_xlfn.IFNA(_xlfn.IFS(AA264&gt;Dash!$F$46, "Big", AA264&lt;Dash!$F$49, "Small", AA264&gt;Dash!$F$47, "Good"), "Norm")</f>
        <v>Good</v>
      </c>
      <c r="AC264">
        <v>141.25</v>
      </c>
      <c r="AD264" t="str">
        <f>_xlfn.IFNA(_xlfn.IFS(AC264&gt;Dash!$G$46, "Big", AC264&lt;Dash!$G$49, "Small", AC264&gt;Dash!$G$47, "Good"), "Norm")</f>
        <v>Norm</v>
      </c>
      <c r="AE264">
        <v>210.5</v>
      </c>
      <c r="AF264" t="str">
        <f>_xlfn.IFNA(_xlfn.IFS(AE264&gt;Dash!$H$46, "Big", AE264&lt;Dash!$H$49, "Small", AE264&gt;Dash!$H$47, "Good"), "Norm")</f>
        <v>Good</v>
      </c>
      <c r="AG264">
        <v>29.5</v>
      </c>
      <c r="AH264" t="str">
        <f>_xlfn.IFNA(_xlfn.IFS(AG264&gt;Dash!$I$46, "Big", AG264&lt;Dash!$I$49, "Small", AG264&gt;Dash!$I$47, "Good"), "Norm")</f>
        <v>Norm</v>
      </c>
    </row>
    <row r="265" spans="1:34" x14ac:dyDescent="0.25">
      <c r="A265" s="1">
        <v>45553</v>
      </c>
      <c r="B265" t="s">
        <v>18</v>
      </c>
      <c r="C265" t="s">
        <v>33</v>
      </c>
      <c r="D265" t="s">
        <v>48</v>
      </c>
      <c r="E265">
        <v>342</v>
      </c>
      <c r="F265">
        <v>1400</v>
      </c>
      <c r="G265">
        <v>1500</v>
      </c>
      <c r="J265" t="s">
        <v>49</v>
      </c>
      <c r="K265" t="s">
        <v>32</v>
      </c>
      <c r="L265" t="s">
        <v>17</v>
      </c>
      <c r="M265" t="s">
        <v>19</v>
      </c>
      <c r="N265">
        <v>7</v>
      </c>
      <c r="R265" t="s">
        <v>13</v>
      </c>
      <c r="S265" t="s">
        <v>28</v>
      </c>
      <c r="T265">
        <v>239</v>
      </c>
      <c r="U265" t="str">
        <f>_xlfn.IFNA(_xlfn.IFS(E265&gt;Dash!$D$46, "Big", E265&lt;Dash!$D$49, "Small", E265&gt;Dash!$D$47, "Good"), "Norm")</f>
        <v>Good</v>
      </c>
      <c r="V265" t="s">
        <v>33</v>
      </c>
      <c r="W265">
        <v>275.75</v>
      </c>
      <c r="X265" t="s">
        <v>28</v>
      </c>
      <c r="Y265">
        <v>45.5</v>
      </c>
      <c r="Z265" t="str">
        <f>_xlfn.IFNA(_xlfn.IFS(Y265&gt;Dash!$E$46, "Big", Y265&lt;Dash!$E$49, "Small", Y265&gt;Dash!$E$47, "Good"), "Norm")</f>
        <v>Norm</v>
      </c>
      <c r="AA265">
        <v>72</v>
      </c>
      <c r="AB265" t="str">
        <f>_xlfn.IFNA(_xlfn.IFS(AA265&gt;Dash!$F$46, "Big", AA265&lt;Dash!$F$49, "Small", AA265&gt;Dash!$F$47, "Good"), "Norm")</f>
        <v>Norm</v>
      </c>
      <c r="AC265">
        <v>150.25</v>
      </c>
      <c r="AD265" t="str">
        <f>_xlfn.IFNA(_xlfn.IFS(AC265&gt;Dash!$G$46, "Big", AC265&lt;Dash!$G$49, "Small", AC265&gt;Dash!$G$47, "Good"), "Norm")</f>
        <v>Norm</v>
      </c>
      <c r="AE265">
        <v>342</v>
      </c>
      <c r="AF265" t="str">
        <f>_xlfn.IFNA(_xlfn.IFS(AE265&gt;Dash!$H$46, "Big", AE265&lt;Dash!$H$49, "Small", AE265&gt;Dash!$H$47, "Good"), "Norm")</f>
        <v>Big</v>
      </c>
      <c r="AG265">
        <v>96.25</v>
      </c>
      <c r="AH265" t="str">
        <f>_xlfn.IFNA(_xlfn.IFS(AG265&gt;Dash!$I$46, "Big", AG265&lt;Dash!$I$49, "Small", AG265&gt;Dash!$I$47, "Good"), "Norm")</f>
        <v>Big</v>
      </c>
    </row>
    <row r="266" spans="1:34" x14ac:dyDescent="0.25">
      <c r="A266" s="1">
        <v>45554</v>
      </c>
      <c r="B266" t="s">
        <v>36</v>
      </c>
      <c r="C266" t="s">
        <v>13</v>
      </c>
      <c r="D266" t="s">
        <v>28</v>
      </c>
      <c r="E266">
        <v>239</v>
      </c>
      <c r="F266">
        <v>200</v>
      </c>
      <c r="J266" t="s">
        <v>30</v>
      </c>
      <c r="K266" t="s">
        <v>31</v>
      </c>
      <c r="L266" t="s">
        <v>32</v>
      </c>
      <c r="M266" t="s">
        <v>19</v>
      </c>
      <c r="N266">
        <v>7</v>
      </c>
      <c r="R266" t="s">
        <v>33</v>
      </c>
      <c r="S266">
        <v>1</v>
      </c>
      <c r="T266">
        <v>224</v>
      </c>
      <c r="U266" t="str">
        <f>_xlfn.IFNA(_xlfn.IFS(E266&gt;Dash!$D$46, "Big", E266&lt;Dash!$D$49, "Small", E266&gt;Dash!$D$47, "Good"), "Norm")</f>
        <v>Norm</v>
      </c>
      <c r="V266" t="s">
        <v>33</v>
      </c>
      <c r="W266">
        <v>342</v>
      </c>
      <c r="X266" t="s">
        <v>48</v>
      </c>
      <c r="Y266">
        <v>254.75</v>
      </c>
      <c r="Z266" t="str">
        <f>_xlfn.IFNA(_xlfn.IFS(Y266&gt;Dash!$E$46, "Big", Y266&lt;Dash!$E$49, "Small", Y266&gt;Dash!$E$47, "Good"), "Norm")</f>
        <v>Big</v>
      </c>
      <c r="AA266">
        <v>155</v>
      </c>
      <c r="AB266" t="str">
        <f>_xlfn.IFNA(_xlfn.IFS(AA266&gt;Dash!$F$46, "Big", AA266&lt;Dash!$F$49, "Small", AA266&gt;Dash!$F$47, "Good"), "Norm")</f>
        <v>Good</v>
      </c>
      <c r="AC266">
        <v>194.5</v>
      </c>
      <c r="AD266" t="str">
        <f>_xlfn.IFNA(_xlfn.IFS(AC266&gt;Dash!$G$46, "Big", AC266&lt;Dash!$G$49, "Small", AC266&gt;Dash!$G$47, "Good"), "Norm")</f>
        <v>Norm</v>
      </c>
      <c r="AE266">
        <v>139</v>
      </c>
      <c r="AF266" t="str">
        <f>_xlfn.IFNA(_xlfn.IFS(AE266&gt;Dash!$H$46, "Big", AE266&lt;Dash!$H$49, "Small", AE266&gt;Dash!$H$47, "Good"), "Norm")</f>
        <v>Norm</v>
      </c>
      <c r="AG266">
        <v>41.25</v>
      </c>
      <c r="AH266" t="str">
        <f>_xlfn.IFNA(_xlfn.IFS(AG266&gt;Dash!$I$46, "Big", AG266&lt;Dash!$I$49, "Small", AG266&gt;Dash!$I$47, "Good"), "Norm")</f>
        <v>Good</v>
      </c>
    </row>
    <row r="267" spans="1:34" x14ac:dyDescent="0.25">
      <c r="A267" s="1">
        <v>45555</v>
      </c>
      <c r="B267" t="s">
        <v>26</v>
      </c>
      <c r="C267" t="s">
        <v>33</v>
      </c>
      <c r="D267">
        <v>1</v>
      </c>
      <c r="E267">
        <v>224</v>
      </c>
      <c r="J267" t="s">
        <v>34</v>
      </c>
      <c r="K267" t="s">
        <v>25</v>
      </c>
      <c r="L267" t="s">
        <v>32</v>
      </c>
      <c r="M267" t="s">
        <v>19</v>
      </c>
      <c r="N267">
        <v>7</v>
      </c>
      <c r="O267" t="s">
        <v>67</v>
      </c>
      <c r="R267">
        <v>0</v>
      </c>
      <c r="S267" t="s">
        <v>28</v>
      </c>
      <c r="T267">
        <v>108</v>
      </c>
      <c r="U267" t="str">
        <f>_xlfn.IFNA(_xlfn.IFS(E267&gt;Dash!$D$46, "Big", E267&lt;Dash!$D$49, "Small", E267&gt;Dash!$D$47, "Good"), "Norm")</f>
        <v>Norm</v>
      </c>
      <c r="V267" t="s">
        <v>13</v>
      </c>
      <c r="W267">
        <v>239</v>
      </c>
      <c r="X267" t="s">
        <v>28</v>
      </c>
      <c r="Y267">
        <v>53.5</v>
      </c>
      <c r="Z267" t="str">
        <f>_xlfn.IFNA(_xlfn.IFS(Y267&gt;Dash!$E$46, "Big", Y267&lt;Dash!$E$49, "Small", Y267&gt;Dash!$E$47, "Good"), "Norm")</f>
        <v>Norm</v>
      </c>
      <c r="AA267">
        <v>88.75</v>
      </c>
      <c r="AB267" t="str">
        <f>_xlfn.IFNA(_xlfn.IFS(AA267&gt;Dash!$F$46, "Big", AA267&lt;Dash!$F$49, "Small", AA267&gt;Dash!$F$47, "Good"), "Norm")</f>
        <v>Norm</v>
      </c>
      <c r="AC267">
        <v>222.5</v>
      </c>
      <c r="AD267" t="str">
        <f>_xlfn.IFNA(_xlfn.IFS(AC267&gt;Dash!$G$46, "Big", AC267&lt;Dash!$G$49, "Small", AC267&gt;Dash!$G$47, "Good"), "Norm")</f>
        <v>Good</v>
      </c>
      <c r="AE267">
        <v>149.75</v>
      </c>
      <c r="AF267" t="str">
        <f>_xlfn.IFNA(_xlfn.IFS(AE267&gt;Dash!$H$46, "Big", AE267&lt;Dash!$H$49, "Small", AE267&gt;Dash!$H$47, "Good"), "Norm")</f>
        <v>Norm</v>
      </c>
      <c r="AG267">
        <v>41.75</v>
      </c>
      <c r="AH267" t="str">
        <f>_xlfn.IFNA(_xlfn.IFS(AG267&gt;Dash!$I$46, "Big", AG267&lt;Dash!$I$49, "Small", AG267&gt;Dash!$I$47, "Good"), "Norm")</f>
        <v>Good</v>
      </c>
    </row>
    <row r="268" spans="1:34" x14ac:dyDescent="0.25">
      <c r="A268" s="1">
        <v>45558</v>
      </c>
      <c r="B268" t="s">
        <v>23</v>
      </c>
      <c r="D268" t="s">
        <v>28</v>
      </c>
      <c r="E268">
        <v>108</v>
      </c>
      <c r="F268">
        <v>2000</v>
      </c>
      <c r="G268">
        <v>300</v>
      </c>
      <c r="J268" t="s">
        <v>29</v>
      </c>
      <c r="K268" t="s">
        <v>16</v>
      </c>
      <c r="L268" t="s">
        <v>50</v>
      </c>
      <c r="M268" t="s">
        <v>23</v>
      </c>
      <c r="N268">
        <v>7</v>
      </c>
      <c r="R268" t="s">
        <v>33</v>
      </c>
      <c r="S268" t="s">
        <v>28</v>
      </c>
      <c r="T268">
        <v>261.75</v>
      </c>
      <c r="U268" t="str">
        <f>_xlfn.IFNA(_xlfn.IFS(E268&gt;Dash!$D$46, "Big", E268&lt;Dash!$D$49, "Small", E268&gt;Dash!$D$47, "Good"), "Norm")</f>
        <v>Small</v>
      </c>
      <c r="V268" t="s">
        <v>33</v>
      </c>
      <c r="W268">
        <v>224</v>
      </c>
      <c r="X268">
        <v>1</v>
      </c>
      <c r="Y268">
        <v>167.75</v>
      </c>
      <c r="Z268" t="str">
        <f>_xlfn.IFNA(_xlfn.IFS(Y268&gt;Dash!$E$46, "Big", Y268&lt;Dash!$E$49, "Small", Y268&gt;Dash!$E$47, "Good"), "Norm")</f>
        <v>Big</v>
      </c>
      <c r="AA268">
        <v>153</v>
      </c>
      <c r="AB268" t="str">
        <f>_xlfn.IFNA(_xlfn.IFS(AA268&gt;Dash!$F$46, "Big", AA268&lt;Dash!$F$49, "Small", AA268&gt;Dash!$F$47, "Good"), "Norm")</f>
        <v>Good</v>
      </c>
      <c r="AC268">
        <v>95.5</v>
      </c>
      <c r="AD268" t="str">
        <f>_xlfn.IFNA(_xlfn.IFS(AC268&gt;Dash!$G$46, "Big", AC268&lt;Dash!$G$49, "Small", AC268&gt;Dash!$G$47, "Good"), "Norm")</f>
        <v>Small</v>
      </c>
      <c r="AE268">
        <v>89.25</v>
      </c>
      <c r="AF268" t="str">
        <f>_xlfn.IFNA(_xlfn.IFS(AE268&gt;Dash!$H$46, "Big", AE268&lt;Dash!$H$49, "Small", AE268&gt;Dash!$H$47, "Good"), "Norm")</f>
        <v>Small</v>
      </c>
      <c r="AG268">
        <v>30.75</v>
      </c>
      <c r="AH268" t="str">
        <f>_xlfn.IFNA(_xlfn.IFS(AG268&gt;Dash!$I$46, "Big", AG268&lt;Dash!$I$49, "Small", AG268&gt;Dash!$I$47, "Good"), "Norm")</f>
        <v>Norm</v>
      </c>
    </row>
    <row r="269" spans="1:34" x14ac:dyDescent="0.25">
      <c r="A269" s="1">
        <v>45559</v>
      </c>
      <c r="B269" t="s">
        <v>19</v>
      </c>
      <c r="C269" t="s">
        <v>33</v>
      </c>
      <c r="D269" t="s">
        <v>28</v>
      </c>
      <c r="E269">
        <v>261.75</v>
      </c>
      <c r="F269">
        <v>400</v>
      </c>
      <c r="G269">
        <v>500</v>
      </c>
      <c r="J269" t="s">
        <v>30</v>
      </c>
      <c r="K269" t="s">
        <v>25</v>
      </c>
      <c r="L269" t="s">
        <v>35</v>
      </c>
      <c r="M269" t="s">
        <v>23</v>
      </c>
      <c r="N269">
        <v>7</v>
      </c>
      <c r="R269" t="s">
        <v>41</v>
      </c>
      <c r="S269" t="s">
        <v>43</v>
      </c>
      <c r="T269">
        <v>146</v>
      </c>
      <c r="U269" t="str">
        <f>_xlfn.IFNA(_xlfn.IFS(E269&gt;Dash!$D$46, "Big", E269&lt;Dash!$D$49, "Small", E269&gt;Dash!$D$47, "Good"), "Norm")</f>
        <v>Good</v>
      </c>
      <c r="V269">
        <v>0</v>
      </c>
      <c r="W269">
        <v>108</v>
      </c>
      <c r="X269" t="s">
        <v>28</v>
      </c>
      <c r="Y269">
        <v>87.5</v>
      </c>
      <c r="Z269" t="str">
        <f>_xlfn.IFNA(_xlfn.IFS(Y269&gt;Dash!$E$46, "Big", Y269&lt;Dash!$E$49, "Small", Y269&gt;Dash!$E$47, "Good"), "Norm")</f>
        <v>Good</v>
      </c>
      <c r="AA269">
        <v>128.5</v>
      </c>
      <c r="AB269" t="str">
        <f>_xlfn.IFNA(_xlfn.IFS(AA269&gt;Dash!$F$46, "Big", AA269&lt;Dash!$F$49, "Small", AA269&gt;Dash!$F$47, "Good"), "Norm")</f>
        <v>Good</v>
      </c>
      <c r="AC269">
        <v>261.75</v>
      </c>
      <c r="AD269" t="str">
        <f>_xlfn.IFNA(_xlfn.IFS(AC269&gt;Dash!$G$46, "Big", AC269&lt;Dash!$G$49, "Small", AC269&gt;Dash!$G$47, "Good"), "Norm")</f>
        <v>Good</v>
      </c>
      <c r="AE269">
        <v>105.5</v>
      </c>
      <c r="AF269" t="str">
        <f>_xlfn.IFNA(_xlfn.IFS(AE269&gt;Dash!$H$46, "Big", AE269&lt;Dash!$H$49, "Small", AE269&gt;Dash!$H$47, "Good"), "Norm")</f>
        <v>Norm</v>
      </c>
      <c r="AG269">
        <v>27.25</v>
      </c>
      <c r="AH269" t="str">
        <f>_xlfn.IFNA(_xlfn.IFS(AG269&gt;Dash!$I$46, "Big", AG269&lt;Dash!$I$49, "Small", AG269&gt;Dash!$I$47, "Good"), "Norm")</f>
        <v>Norm</v>
      </c>
    </row>
    <row r="270" spans="1:34" x14ac:dyDescent="0.25">
      <c r="A270" s="1">
        <v>45560</v>
      </c>
      <c r="B270" t="s">
        <v>18</v>
      </c>
      <c r="C270" t="s">
        <v>41</v>
      </c>
      <c r="D270" t="s">
        <v>43</v>
      </c>
      <c r="E270">
        <v>146</v>
      </c>
      <c r="F270">
        <v>900</v>
      </c>
      <c r="G270">
        <v>1100</v>
      </c>
      <c r="J270" t="s">
        <v>27</v>
      </c>
      <c r="K270" t="s">
        <v>39</v>
      </c>
      <c r="L270" t="s">
        <v>35</v>
      </c>
      <c r="M270" t="s">
        <v>23</v>
      </c>
      <c r="N270">
        <v>7</v>
      </c>
      <c r="R270" t="s">
        <v>33</v>
      </c>
      <c r="S270" t="s">
        <v>28</v>
      </c>
      <c r="T270">
        <v>350</v>
      </c>
      <c r="U270" t="str">
        <f>_xlfn.IFNA(_xlfn.IFS(E270&gt;Dash!$D$46, "Big", E270&lt;Dash!$D$49, "Small", E270&gt;Dash!$D$47, "Good"), "Norm")</f>
        <v>Small</v>
      </c>
      <c r="V270" t="s">
        <v>33</v>
      </c>
      <c r="W270">
        <v>261.75</v>
      </c>
      <c r="X270" t="s">
        <v>28</v>
      </c>
      <c r="Y270">
        <v>104.25</v>
      </c>
      <c r="Z270" t="str">
        <f>_xlfn.IFNA(_xlfn.IFS(Y270&gt;Dash!$E$46, "Big", Y270&lt;Dash!$E$49, "Small", Y270&gt;Dash!$E$47, "Good"), "Norm")</f>
        <v>Good</v>
      </c>
      <c r="AA270">
        <v>77.25</v>
      </c>
      <c r="AB270" t="str">
        <f>_xlfn.IFNA(_xlfn.IFS(AA270&gt;Dash!$F$46, "Big", AA270&lt;Dash!$F$49, "Small", AA270&gt;Dash!$F$47, "Good"), "Norm")</f>
        <v>Norm</v>
      </c>
      <c r="AC270">
        <v>146</v>
      </c>
      <c r="AD270" t="str">
        <f>_xlfn.IFNA(_xlfn.IFS(AC270&gt;Dash!$G$46, "Big", AC270&lt;Dash!$G$49, "Small", AC270&gt;Dash!$G$47, "Good"), "Norm")</f>
        <v>Norm</v>
      </c>
      <c r="AE270">
        <v>80.5</v>
      </c>
      <c r="AF270" t="str">
        <f>_xlfn.IFNA(_xlfn.IFS(AE270&gt;Dash!$H$46, "Big", AE270&lt;Dash!$H$49, "Small", AE270&gt;Dash!$H$47, "Good"), "Norm")</f>
        <v>Small</v>
      </c>
      <c r="AG270">
        <v>56.75</v>
      </c>
      <c r="AH270" t="str">
        <f>_xlfn.IFNA(_xlfn.IFS(AG270&gt;Dash!$I$46, "Big", AG270&lt;Dash!$I$49, "Small", AG270&gt;Dash!$I$47, "Good"), "Norm")</f>
        <v>Good</v>
      </c>
    </row>
    <row r="271" spans="1:34" x14ac:dyDescent="0.25">
      <c r="A271" s="1">
        <v>45561</v>
      </c>
      <c r="B271" t="s">
        <v>36</v>
      </c>
      <c r="C271" t="s">
        <v>33</v>
      </c>
      <c r="D271" t="s">
        <v>28</v>
      </c>
      <c r="E271">
        <v>350</v>
      </c>
      <c r="F271">
        <v>1900</v>
      </c>
      <c r="G271">
        <v>1000</v>
      </c>
      <c r="J271" t="s">
        <v>29</v>
      </c>
      <c r="K271" t="s">
        <v>35</v>
      </c>
      <c r="L271" t="s">
        <v>25</v>
      </c>
      <c r="M271" t="s">
        <v>23</v>
      </c>
      <c r="N271">
        <v>7</v>
      </c>
      <c r="R271" t="s">
        <v>33</v>
      </c>
      <c r="S271" t="s">
        <v>14</v>
      </c>
      <c r="T271">
        <v>222.75</v>
      </c>
      <c r="U271" t="str">
        <f>_xlfn.IFNA(_xlfn.IFS(E271&gt;Dash!$D$46, "Big", E271&lt;Dash!$D$49, "Small", E271&gt;Dash!$D$47, "Good"), "Norm")</f>
        <v>Good</v>
      </c>
      <c r="V271" t="s">
        <v>41</v>
      </c>
      <c r="W271">
        <v>146</v>
      </c>
      <c r="X271" t="s">
        <v>43</v>
      </c>
      <c r="Y271">
        <v>189.5</v>
      </c>
      <c r="Z271" t="str">
        <f>_xlfn.IFNA(_xlfn.IFS(Y271&gt;Dash!$E$46, "Big", Y271&lt;Dash!$E$49, "Small", Y271&gt;Dash!$E$47, "Good"), "Norm")</f>
        <v>Big</v>
      </c>
      <c r="AA271">
        <v>87</v>
      </c>
      <c r="AB271" t="str">
        <f>_xlfn.IFNA(_xlfn.IFS(AA271&gt;Dash!$F$46, "Big", AA271&lt;Dash!$F$49, "Small", AA271&gt;Dash!$F$47, "Good"), "Norm")</f>
        <v>Norm</v>
      </c>
      <c r="AC271">
        <v>350</v>
      </c>
      <c r="AD271" t="str">
        <f>_xlfn.IFNA(_xlfn.IFS(AC271&gt;Dash!$G$46, "Big", AC271&lt;Dash!$G$49, "Small", AC271&gt;Dash!$G$47, "Good"), "Norm")</f>
        <v>Big</v>
      </c>
      <c r="AE271">
        <v>173.5</v>
      </c>
      <c r="AF271" t="str">
        <f>_xlfn.IFNA(_xlfn.IFS(AE271&gt;Dash!$H$46, "Big", AE271&lt;Dash!$H$49, "Small", AE271&gt;Dash!$H$47, "Good"), "Norm")</f>
        <v>Good</v>
      </c>
      <c r="AG271">
        <v>24.75</v>
      </c>
      <c r="AH271" t="str">
        <f>_xlfn.IFNA(_xlfn.IFS(AG271&gt;Dash!$I$46, "Big", AG271&lt;Dash!$I$49, "Small", AG271&gt;Dash!$I$47, "Good"), "Norm")</f>
        <v>Norm</v>
      </c>
    </row>
    <row r="272" spans="1:34" x14ac:dyDescent="0.25">
      <c r="A272" s="1">
        <v>45562</v>
      </c>
      <c r="B272" t="s">
        <v>26</v>
      </c>
      <c r="C272" t="s">
        <v>33</v>
      </c>
      <c r="D272" t="s">
        <v>14</v>
      </c>
      <c r="E272">
        <v>222.75</v>
      </c>
      <c r="F272">
        <v>1400</v>
      </c>
      <c r="G272">
        <v>1400</v>
      </c>
      <c r="J272" t="s">
        <v>21</v>
      </c>
      <c r="K272" t="s">
        <v>35</v>
      </c>
      <c r="L272" t="s">
        <v>17</v>
      </c>
      <c r="M272" t="s">
        <v>23</v>
      </c>
      <c r="N272">
        <v>7</v>
      </c>
      <c r="R272" t="s">
        <v>13</v>
      </c>
      <c r="S272" t="s">
        <v>46</v>
      </c>
      <c r="T272">
        <v>230.75</v>
      </c>
      <c r="U272" t="str">
        <f>_xlfn.IFNA(_xlfn.IFS(E272&gt;Dash!$D$46, "Big", E272&lt;Dash!$D$49, "Small", E272&gt;Dash!$D$47, "Good"), "Norm")</f>
        <v>Norm</v>
      </c>
      <c r="V272" t="s">
        <v>33</v>
      </c>
      <c r="W272">
        <v>350</v>
      </c>
      <c r="X272" t="s">
        <v>28</v>
      </c>
      <c r="Y272">
        <v>102.25</v>
      </c>
      <c r="Z272" t="str">
        <f>_xlfn.IFNA(_xlfn.IFS(Y272&gt;Dash!$E$46, "Big", Y272&lt;Dash!$E$49, "Small", Y272&gt;Dash!$E$47, "Good"), "Norm")</f>
        <v>Good</v>
      </c>
      <c r="AA272">
        <v>111.25</v>
      </c>
      <c r="AB272" t="str">
        <f>_xlfn.IFNA(_xlfn.IFS(AA272&gt;Dash!$F$46, "Big", AA272&lt;Dash!$F$49, "Small", AA272&gt;Dash!$F$47, "Good"), "Norm")</f>
        <v>Good</v>
      </c>
      <c r="AC272">
        <v>164.25</v>
      </c>
      <c r="AD272" t="str">
        <f>_xlfn.IFNA(_xlfn.IFS(AC272&gt;Dash!$G$46, "Big", AC272&lt;Dash!$G$49, "Small", AC272&gt;Dash!$G$47, "Good"), "Norm")</f>
        <v>Norm</v>
      </c>
      <c r="AE272">
        <v>120</v>
      </c>
      <c r="AF272" t="str">
        <f>_xlfn.IFNA(_xlfn.IFS(AE272&gt;Dash!$H$46, "Big", AE272&lt;Dash!$H$49, "Small", AE272&gt;Dash!$H$47, "Good"), "Norm")</f>
        <v>Norm</v>
      </c>
      <c r="AG272">
        <v>38.25</v>
      </c>
      <c r="AH272" t="str">
        <f>_xlfn.IFNA(_xlfn.IFS(AG272&gt;Dash!$I$46, "Big", AG272&lt;Dash!$I$49, "Small", AG272&gt;Dash!$I$47, "Good"), "Norm")</f>
        <v>Good</v>
      </c>
    </row>
    <row r="273" spans="1:34" x14ac:dyDescent="0.25">
      <c r="A273" s="1">
        <v>45565</v>
      </c>
      <c r="B273" t="s">
        <v>23</v>
      </c>
      <c r="C273" t="s">
        <v>13</v>
      </c>
      <c r="D273" t="s">
        <v>46</v>
      </c>
      <c r="E273">
        <v>230.75</v>
      </c>
      <c r="F273">
        <v>1800</v>
      </c>
      <c r="G273">
        <v>1800</v>
      </c>
      <c r="J273" t="s">
        <v>37</v>
      </c>
      <c r="K273" t="s">
        <v>16</v>
      </c>
      <c r="L273" t="s">
        <v>17</v>
      </c>
      <c r="M273" t="s">
        <v>23</v>
      </c>
      <c r="N273">
        <v>9</v>
      </c>
      <c r="R273" t="s">
        <v>24</v>
      </c>
      <c r="S273" t="s">
        <v>48</v>
      </c>
      <c r="T273">
        <v>468.5</v>
      </c>
      <c r="U273" t="str">
        <f>_xlfn.IFNA(_xlfn.IFS(E273&gt;Dash!$D$46, "Big", E273&lt;Dash!$D$49, "Small", E273&gt;Dash!$D$47, "Good"), "Norm")</f>
        <v>Norm</v>
      </c>
      <c r="V273" t="s">
        <v>33</v>
      </c>
      <c r="W273">
        <v>222.75</v>
      </c>
      <c r="X273" t="s">
        <v>14</v>
      </c>
      <c r="Y273">
        <v>133.5</v>
      </c>
      <c r="Z273" t="str">
        <f>_xlfn.IFNA(_xlfn.IFS(Y273&gt;Dash!$E$46, "Big", Y273&lt;Dash!$E$49, "Small", Y273&gt;Dash!$E$47, "Good"), "Norm")</f>
        <v>Good</v>
      </c>
      <c r="AA273">
        <v>127.75</v>
      </c>
      <c r="AB273" t="str">
        <f>_xlfn.IFNA(_xlfn.IFS(AA273&gt;Dash!$F$46, "Big", AA273&lt;Dash!$F$49, "Small", AA273&gt;Dash!$F$47, "Good"), "Norm")</f>
        <v>Good</v>
      </c>
      <c r="AC273">
        <v>138.25</v>
      </c>
      <c r="AD273" t="str">
        <f>_xlfn.IFNA(_xlfn.IFS(AC273&gt;Dash!$G$46, "Big", AC273&lt;Dash!$G$49, "Small", AC273&gt;Dash!$G$47, "Good"), "Norm")</f>
        <v>Norm</v>
      </c>
      <c r="AE273">
        <v>230.75</v>
      </c>
      <c r="AF273" t="str">
        <f>_xlfn.IFNA(_xlfn.IFS(AE273&gt;Dash!$H$46, "Big", AE273&lt;Dash!$H$49, "Small", AE273&gt;Dash!$H$47, "Good"), "Norm")</f>
        <v>Good</v>
      </c>
      <c r="AG273">
        <v>43.25</v>
      </c>
      <c r="AH273" t="str">
        <f>_xlfn.IFNA(_xlfn.IFS(AG273&gt;Dash!$I$46, "Big", AG273&lt;Dash!$I$49, "Small", AG273&gt;Dash!$I$47, "Good"), "Norm")</f>
        <v>Good</v>
      </c>
    </row>
    <row r="274" spans="1:34" x14ac:dyDescent="0.25">
      <c r="A274" s="1">
        <v>45566</v>
      </c>
      <c r="B274" t="s">
        <v>19</v>
      </c>
      <c r="C274" t="s">
        <v>24</v>
      </c>
      <c r="D274" t="s">
        <v>48</v>
      </c>
      <c r="E274">
        <v>468.5</v>
      </c>
      <c r="F274">
        <v>2100</v>
      </c>
      <c r="G274">
        <v>2300</v>
      </c>
      <c r="H274">
        <v>900</v>
      </c>
      <c r="J274" t="s">
        <v>29</v>
      </c>
      <c r="K274" t="s">
        <v>16</v>
      </c>
      <c r="L274" t="s">
        <v>25</v>
      </c>
      <c r="M274" t="s">
        <v>23</v>
      </c>
      <c r="N274">
        <v>9</v>
      </c>
      <c r="R274" t="s">
        <v>33</v>
      </c>
      <c r="S274">
        <v>1</v>
      </c>
      <c r="T274">
        <v>256.75</v>
      </c>
      <c r="U274" t="str">
        <f>_xlfn.IFNA(_xlfn.IFS(E274&gt;Dash!$D$46, "Big", E274&lt;Dash!$D$49, "Small", E274&gt;Dash!$D$47, "Good"), "Norm")</f>
        <v>Big</v>
      </c>
      <c r="V274" t="s">
        <v>13</v>
      </c>
      <c r="W274">
        <v>230.75</v>
      </c>
      <c r="X274" t="s">
        <v>46</v>
      </c>
      <c r="Y274">
        <v>118.5</v>
      </c>
      <c r="Z274" t="str">
        <f>_xlfn.IFNA(_xlfn.IFS(Y274&gt;Dash!$E$46, "Big", Y274&lt;Dash!$E$49, "Small", Y274&gt;Dash!$E$47, "Good"), "Norm")</f>
        <v>Good</v>
      </c>
      <c r="AA274">
        <v>109.75</v>
      </c>
      <c r="AB274" t="str">
        <f>_xlfn.IFNA(_xlfn.IFS(AA274&gt;Dash!$F$46, "Big", AA274&lt;Dash!$F$49, "Small", AA274&gt;Dash!$F$47, "Good"), "Norm")</f>
        <v>Good</v>
      </c>
      <c r="AC274">
        <v>468.5</v>
      </c>
      <c r="AD274" t="str">
        <f>_xlfn.IFNA(_xlfn.IFS(AC274&gt;Dash!$G$46, "Big", AC274&lt;Dash!$G$49, "Small", AC274&gt;Dash!$G$47, "Good"), "Norm")</f>
        <v>Big</v>
      </c>
      <c r="AE274">
        <v>236.75</v>
      </c>
      <c r="AF274" t="str">
        <f>_xlfn.IFNA(_xlfn.IFS(AE274&gt;Dash!$H$46, "Big", AE274&lt;Dash!$H$49, "Small", AE274&gt;Dash!$H$47, "Good"), "Norm")</f>
        <v>Big</v>
      </c>
      <c r="AG274">
        <v>62.75</v>
      </c>
      <c r="AH274" t="str">
        <f>_xlfn.IFNA(_xlfn.IFS(AG274&gt;Dash!$I$46, "Big", AG274&lt;Dash!$I$49, "Small", AG274&gt;Dash!$I$47, "Good"), "Norm")</f>
        <v>Good</v>
      </c>
    </row>
    <row r="275" spans="1:34" x14ac:dyDescent="0.25">
      <c r="A275" s="1">
        <v>45567</v>
      </c>
      <c r="B275" t="s">
        <v>18</v>
      </c>
      <c r="C275" t="s">
        <v>33</v>
      </c>
      <c r="D275">
        <v>1</v>
      </c>
      <c r="E275">
        <v>256.75</v>
      </c>
      <c r="J275" t="s">
        <v>34</v>
      </c>
      <c r="K275" t="s">
        <v>25</v>
      </c>
      <c r="L275" t="s">
        <v>35</v>
      </c>
      <c r="M275" t="s">
        <v>23</v>
      </c>
      <c r="N275">
        <v>9</v>
      </c>
      <c r="R275" t="s">
        <v>41</v>
      </c>
      <c r="S275" t="s">
        <v>43</v>
      </c>
      <c r="T275">
        <v>234.75</v>
      </c>
      <c r="U275" t="str">
        <f>_xlfn.IFNA(_xlfn.IFS(E275&gt;Dash!$D$46, "Big", E275&lt;Dash!$D$49, "Small", E275&gt;Dash!$D$47, "Good"), "Norm")</f>
        <v>Good</v>
      </c>
      <c r="V275" t="s">
        <v>24</v>
      </c>
      <c r="W275">
        <v>468.5</v>
      </c>
      <c r="X275" t="s">
        <v>48</v>
      </c>
      <c r="Y275">
        <v>115.75</v>
      </c>
      <c r="Z275" t="str">
        <f>_xlfn.IFNA(_xlfn.IFS(Y275&gt;Dash!$E$46, "Big", Y275&lt;Dash!$E$49, "Small", Y275&gt;Dash!$E$47, "Good"), "Norm")</f>
        <v>Good</v>
      </c>
      <c r="AA275">
        <v>97</v>
      </c>
      <c r="AB275" t="str">
        <f>_xlfn.IFNA(_xlfn.IFS(AA275&gt;Dash!$F$46, "Big", AA275&lt;Dash!$F$49, "Small", AA275&gt;Dash!$F$47, "Good"), "Norm")</f>
        <v>Good</v>
      </c>
      <c r="AC275">
        <v>256.75</v>
      </c>
      <c r="AD275" t="str">
        <f>_xlfn.IFNA(_xlfn.IFS(AC275&gt;Dash!$G$46, "Big", AC275&lt;Dash!$G$49, "Small", AC275&gt;Dash!$G$47, "Good"), "Norm")</f>
        <v>Good</v>
      </c>
      <c r="AE275">
        <v>116.25</v>
      </c>
      <c r="AF275" t="str">
        <f>_xlfn.IFNA(_xlfn.IFS(AE275&gt;Dash!$H$46, "Big", AE275&lt;Dash!$H$49, "Small", AE275&gt;Dash!$H$47, "Good"), "Norm")</f>
        <v>Norm</v>
      </c>
      <c r="AG275">
        <v>68.5</v>
      </c>
      <c r="AH275" t="str">
        <f>_xlfn.IFNA(_xlfn.IFS(AG275&gt;Dash!$I$46, "Big", AG275&lt;Dash!$I$49, "Small", AG275&gt;Dash!$I$47, "Good"), "Norm")</f>
        <v>Good</v>
      </c>
    </row>
    <row r="276" spans="1:34" x14ac:dyDescent="0.25">
      <c r="A276" s="1">
        <v>45568</v>
      </c>
      <c r="B276" t="s">
        <v>36</v>
      </c>
      <c r="C276" t="s">
        <v>41</v>
      </c>
      <c r="D276" t="s">
        <v>43</v>
      </c>
      <c r="E276">
        <v>234.75</v>
      </c>
      <c r="F276">
        <v>1000</v>
      </c>
      <c r="G276">
        <v>1000</v>
      </c>
      <c r="J276" t="s">
        <v>27</v>
      </c>
      <c r="K276" t="s">
        <v>39</v>
      </c>
      <c r="L276" t="s">
        <v>35</v>
      </c>
      <c r="M276" t="s">
        <v>23</v>
      </c>
      <c r="N276">
        <v>9</v>
      </c>
      <c r="R276" t="s">
        <v>24</v>
      </c>
      <c r="S276" t="s">
        <v>28</v>
      </c>
      <c r="T276">
        <v>250.5</v>
      </c>
      <c r="U276" t="str">
        <f>_xlfn.IFNA(_xlfn.IFS(E276&gt;Dash!$D$46, "Big", E276&lt;Dash!$D$49, "Small", E276&gt;Dash!$D$47, "Good"), "Norm")</f>
        <v>Norm</v>
      </c>
      <c r="V276" t="s">
        <v>33</v>
      </c>
      <c r="W276">
        <v>256.75</v>
      </c>
      <c r="X276">
        <v>1</v>
      </c>
      <c r="Y276">
        <v>137.25</v>
      </c>
      <c r="Z276" t="str">
        <f>_xlfn.IFNA(_xlfn.IFS(Y276&gt;Dash!$E$46, "Big", Y276&lt;Dash!$E$49, "Small", Y276&gt;Dash!$E$47, "Good"), "Norm")</f>
        <v>Big</v>
      </c>
      <c r="AA276">
        <v>125.5</v>
      </c>
      <c r="AB276" t="str">
        <f>_xlfn.IFNA(_xlfn.IFS(AA276&gt;Dash!$F$46, "Big", AA276&lt;Dash!$F$49, "Small", AA276&gt;Dash!$F$47, "Good"), "Norm")</f>
        <v>Good</v>
      </c>
      <c r="AC276">
        <v>219</v>
      </c>
      <c r="AD276" t="str">
        <f>_xlfn.IFNA(_xlfn.IFS(AC276&gt;Dash!$G$46, "Big", AC276&lt;Dash!$G$49, "Small", AC276&gt;Dash!$G$47, "Good"), "Norm")</f>
        <v>Good</v>
      </c>
      <c r="AE276">
        <v>172.75</v>
      </c>
      <c r="AF276" t="str">
        <f>_xlfn.IFNA(_xlfn.IFS(AE276&gt;Dash!$H$46, "Big", AE276&lt;Dash!$H$49, "Small", AE276&gt;Dash!$H$47, "Good"), "Norm")</f>
        <v>Good</v>
      </c>
      <c r="AG276">
        <v>62.25</v>
      </c>
      <c r="AH276" t="str">
        <f>_xlfn.IFNA(_xlfn.IFS(AG276&gt;Dash!$I$46, "Big", AG276&lt;Dash!$I$49, "Small", AG276&gt;Dash!$I$47, "Good"), "Norm")</f>
        <v>Good</v>
      </c>
    </row>
    <row r="277" spans="1:34" x14ac:dyDescent="0.25">
      <c r="A277" s="1">
        <v>45569</v>
      </c>
      <c r="B277" t="s">
        <v>26</v>
      </c>
      <c r="C277" t="s">
        <v>24</v>
      </c>
      <c r="D277" t="s">
        <v>28</v>
      </c>
      <c r="E277">
        <v>250.5</v>
      </c>
      <c r="F277">
        <v>800</v>
      </c>
      <c r="G277">
        <v>900</v>
      </c>
      <c r="J277" t="s">
        <v>27</v>
      </c>
      <c r="K277" t="s">
        <v>31</v>
      </c>
      <c r="L277" t="s">
        <v>35</v>
      </c>
      <c r="M277" t="s">
        <v>23</v>
      </c>
      <c r="N277">
        <v>9</v>
      </c>
      <c r="R277" t="s">
        <v>13</v>
      </c>
      <c r="S277" t="s">
        <v>43</v>
      </c>
      <c r="T277">
        <v>239.25</v>
      </c>
      <c r="U277" t="str">
        <f>_xlfn.IFNA(_xlfn.IFS(E277&gt;Dash!$D$46, "Big", E277&lt;Dash!$D$49, "Small", E277&gt;Dash!$D$47, "Good"), "Norm")</f>
        <v>Norm</v>
      </c>
      <c r="V277" t="s">
        <v>41</v>
      </c>
      <c r="W277">
        <v>234.75</v>
      </c>
      <c r="X277" t="s">
        <v>43</v>
      </c>
      <c r="Y277">
        <v>128</v>
      </c>
      <c r="Z277" t="str">
        <f>_xlfn.IFNA(_xlfn.IFS(Y277&gt;Dash!$E$46, "Big", Y277&lt;Dash!$E$49, "Small", Y277&gt;Dash!$E$47, "Good"), "Norm")</f>
        <v>Good</v>
      </c>
      <c r="AA277">
        <v>113.75</v>
      </c>
      <c r="AB277" t="str">
        <f>_xlfn.IFNA(_xlfn.IFS(AA277&gt;Dash!$F$46, "Big", AA277&lt;Dash!$F$49, "Small", AA277&gt;Dash!$F$47, "Good"), "Norm")</f>
        <v>Good</v>
      </c>
      <c r="AC277">
        <v>250.5</v>
      </c>
      <c r="AD277" t="str">
        <f>_xlfn.IFNA(_xlfn.IFS(AC277&gt;Dash!$G$46, "Big", AC277&lt;Dash!$G$49, "Small", AC277&gt;Dash!$G$47, "Good"), "Norm")</f>
        <v>Good</v>
      </c>
      <c r="AE277">
        <v>164</v>
      </c>
      <c r="AF277" t="str">
        <f>_xlfn.IFNA(_xlfn.IFS(AE277&gt;Dash!$H$46, "Big", AE277&lt;Dash!$H$49, "Small", AE277&gt;Dash!$H$47, "Good"), "Norm")</f>
        <v>Good</v>
      </c>
      <c r="AG277">
        <v>36</v>
      </c>
      <c r="AH277" t="str">
        <f>_xlfn.IFNA(_xlfn.IFS(AG277&gt;Dash!$I$46, "Big", AG277&lt;Dash!$I$49, "Small", AG277&gt;Dash!$I$47, "Good"), "Norm")</f>
        <v>Norm</v>
      </c>
    </row>
    <row r="278" spans="1:34" x14ac:dyDescent="0.25">
      <c r="A278" s="1">
        <v>45572</v>
      </c>
      <c r="B278" t="s">
        <v>23</v>
      </c>
      <c r="C278" t="s">
        <v>13</v>
      </c>
      <c r="D278" t="s">
        <v>43</v>
      </c>
      <c r="E278">
        <v>239.25</v>
      </c>
      <c r="F278">
        <v>1800</v>
      </c>
      <c r="G278">
        <v>1800</v>
      </c>
      <c r="J278" t="s">
        <v>29</v>
      </c>
      <c r="K278" t="s">
        <v>16</v>
      </c>
      <c r="L278" t="s">
        <v>17</v>
      </c>
      <c r="M278" t="s">
        <v>18</v>
      </c>
      <c r="N278">
        <v>7</v>
      </c>
      <c r="R278" t="s">
        <v>13</v>
      </c>
      <c r="S278" t="s">
        <v>38</v>
      </c>
      <c r="T278">
        <v>273.25</v>
      </c>
      <c r="U278" t="str">
        <f>_xlfn.IFNA(_xlfn.IFS(E278&gt;Dash!$D$46, "Big", E278&lt;Dash!$D$49, "Small", E278&gt;Dash!$D$47, "Good"), "Norm")</f>
        <v>Norm</v>
      </c>
      <c r="V278" t="s">
        <v>24</v>
      </c>
      <c r="W278">
        <v>250.5</v>
      </c>
      <c r="X278" t="s">
        <v>28</v>
      </c>
      <c r="Y278">
        <v>84</v>
      </c>
      <c r="Z278" t="str">
        <f>_xlfn.IFNA(_xlfn.IFS(Y278&gt;Dash!$E$46, "Big", Y278&lt;Dash!$E$49, "Small", Y278&gt;Dash!$E$47, "Good"), "Norm")</f>
        <v>Good</v>
      </c>
      <c r="AA278">
        <v>155.75</v>
      </c>
      <c r="AB278" t="str">
        <f>_xlfn.IFNA(_xlfn.IFS(AA278&gt;Dash!$F$46, "Big", AA278&lt;Dash!$F$49, "Small", AA278&gt;Dash!$F$47, "Good"), "Norm")</f>
        <v>Big</v>
      </c>
      <c r="AC278">
        <v>98.75</v>
      </c>
      <c r="AD278" t="str">
        <f>_xlfn.IFNA(_xlfn.IFS(AC278&gt;Dash!$G$46, "Big", AC278&lt;Dash!$G$49, "Small", AC278&gt;Dash!$G$47, "Good"), "Norm")</f>
        <v>Small</v>
      </c>
      <c r="AE278">
        <v>220</v>
      </c>
      <c r="AF278" t="str">
        <f>_xlfn.IFNA(_xlfn.IFS(AE278&gt;Dash!$H$46, "Big", AE278&lt;Dash!$H$49, "Small", AE278&gt;Dash!$H$47, "Good"), "Norm")</f>
        <v>Good</v>
      </c>
      <c r="AG278">
        <v>35.25</v>
      </c>
      <c r="AH278" t="str">
        <f>_xlfn.IFNA(_xlfn.IFS(AG278&gt;Dash!$I$46, "Big", AG278&lt;Dash!$I$49, "Small", AG278&gt;Dash!$I$47, "Good"), "Norm")</f>
        <v>Norm</v>
      </c>
    </row>
    <row r="279" spans="1:34" x14ac:dyDescent="0.25">
      <c r="A279" s="1">
        <v>45573</v>
      </c>
      <c r="B279" t="s">
        <v>19</v>
      </c>
      <c r="C279" t="s">
        <v>13</v>
      </c>
      <c r="D279" t="s">
        <v>38</v>
      </c>
      <c r="E279">
        <v>273.25</v>
      </c>
      <c r="F279">
        <v>1800</v>
      </c>
      <c r="G279">
        <v>1800</v>
      </c>
      <c r="H279">
        <v>1000</v>
      </c>
      <c r="I279">
        <v>1000</v>
      </c>
      <c r="J279" t="s">
        <v>37</v>
      </c>
      <c r="K279" t="s">
        <v>31</v>
      </c>
      <c r="L279" t="s">
        <v>32</v>
      </c>
      <c r="M279" t="s">
        <v>18</v>
      </c>
      <c r="N279">
        <v>7</v>
      </c>
      <c r="R279" t="s">
        <v>20</v>
      </c>
      <c r="S279" t="s">
        <v>28</v>
      </c>
      <c r="T279">
        <v>244.25</v>
      </c>
      <c r="U279" t="str">
        <f>_xlfn.IFNA(_xlfn.IFS(E279&gt;Dash!$D$46, "Big", E279&lt;Dash!$D$49, "Small", E279&gt;Dash!$D$47, "Good"), "Norm")</f>
        <v>Good</v>
      </c>
      <c r="V279" t="s">
        <v>13</v>
      </c>
      <c r="W279">
        <v>239.25</v>
      </c>
      <c r="X279" t="s">
        <v>43</v>
      </c>
      <c r="Y279">
        <v>128.5</v>
      </c>
      <c r="Z279" t="str">
        <f>_xlfn.IFNA(_xlfn.IFS(Y279&gt;Dash!$E$46, "Big", Y279&lt;Dash!$E$49, "Small", Y279&gt;Dash!$E$47, "Good"), "Norm")</f>
        <v>Good</v>
      </c>
      <c r="AA279">
        <v>158.5</v>
      </c>
      <c r="AB279" t="str">
        <f>_xlfn.IFNA(_xlfn.IFS(AA279&gt;Dash!$F$46, "Big", AA279&lt;Dash!$F$49, "Small", AA279&gt;Dash!$F$47, "Good"), "Norm")</f>
        <v>Big</v>
      </c>
      <c r="AC279">
        <v>217.5</v>
      </c>
      <c r="AD279" t="str">
        <f>_xlfn.IFNA(_xlfn.IFS(AC279&gt;Dash!$G$46, "Big", AC279&lt;Dash!$G$49, "Small", AC279&gt;Dash!$G$47, "Good"), "Norm")</f>
        <v>Good</v>
      </c>
      <c r="AE279">
        <v>164.75</v>
      </c>
      <c r="AF279" t="str">
        <f>_xlfn.IFNA(_xlfn.IFS(AE279&gt;Dash!$H$46, "Big", AE279&lt;Dash!$H$49, "Small", AE279&gt;Dash!$H$47, "Good"), "Norm")</f>
        <v>Good</v>
      </c>
      <c r="AG279">
        <v>24.25</v>
      </c>
      <c r="AH279" t="str">
        <f>_xlfn.IFNA(_xlfn.IFS(AG279&gt;Dash!$I$46, "Big", AG279&lt;Dash!$I$49, "Small", AG279&gt;Dash!$I$47, "Good"), "Norm")</f>
        <v>Norm</v>
      </c>
    </row>
    <row r="280" spans="1:34" x14ac:dyDescent="0.25">
      <c r="A280" s="1">
        <v>45574</v>
      </c>
      <c r="B280" t="s">
        <v>18</v>
      </c>
      <c r="C280" t="s">
        <v>20</v>
      </c>
      <c r="D280" t="s">
        <v>28</v>
      </c>
      <c r="E280">
        <v>244.25</v>
      </c>
      <c r="F280">
        <v>1000</v>
      </c>
      <c r="J280" t="s">
        <v>27</v>
      </c>
      <c r="K280" t="s">
        <v>39</v>
      </c>
      <c r="L280" t="s">
        <v>32</v>
      </c>
      <c r="M280" t="s">
        <v>18</v>
      </c>
      <c r="N280">
        <v>7</v>
      </c>
      <c r="R280" t="s">
        <v>33</v>
      </c>
      <c r="S280" t="s">
        <v>43</v>
      </c>
      <c r="T280">
        <v>206.75</v>
      </c>
      <c r="U280" t="str">
        <f>_xlfn.IFNA(_xlfn.IFS(E280&gt;Dash!$D$46, "Big", E280&lt;Dash!$D$49, "Small", E280&gt;Dash!$D$47, "Good"), "Norm")</f>
        <v>Norm</v>
      </c>
      <c r="V280" t="s">
        <v>13</v>
      </c>
      <c r="W280">
        <v>273.25</v>
      </c>
      <c r="X280" t="s">
        <v>38</v>
      </c>
      <c r="Y280">
        <v>74.25</v>
      </c>
      <c r="Z280" t="str">
        <f>_xlfn.IFNA(_xlfn.IFS(Y280&gt;Dash!$E$46, "Big", Y280&lt;Dash!$E$49, "Small", Y280&gt;Dash!$E$47, "Good"), "Norm")</f>
        <v>Norm</v>
      </c>
      <c r="AA280">
        <v>97</v>
      </c>
      <c r="AB280" t="str">
        <f>_xlfn.IFNA(_xlfn.IFS(AA280&gt;Dash!$F$46, "Big", AA280&lt;Dash!$F$49, "Small", AA280&gt;Dash!$F$47, "Good"), "Norm")</f>
        <v>Good</v>
      </c>
      <c r="AC280">
        <v>209.75</v>
      </c>
      <c r="AD280" t="str">
        <f>_xlfn.IFNA(_xlfn.IFS(AC280&gt;Dash!$G$46, "Big", AC280&lt;Dash!$G$49, "Small", AC280&gt;Dash!$G$47, "Good"), "Norm")</f>
        <v>Good</v>
      </c>
      <c r="AE280">
        <v>127.75</v>
      </c>
      <c r="AF280" t="str">
        <f>_xlfn.IFNA(_xlfn.IFS(AE280&gt;Dash!$H$46, "Big", AE280&lt;Dash!$H$49, "Small", AE280&gt;Dash!$H$47, "Good"), "Norm")</f>
        <v>Norm</v>
      </c>
      <c r="AG280">
        <v>41.75</v>
      </c>
      <c r="AH280" t="str">
        <f>_xlfn.IFNA(_xlfn.IFS(AG280&gt;Dash!$I$46, "Big", AG280&lt;Dash!$I$49, "Small", AG280&gt;Dash!$I$47, "Good"), "Norm")</f>
        <v>Good</v>
      </c>
    </row>
    <row r="281" spans="1:34" x14ac:dyDescent="0.25">
      <c r="A281" s="1">
        <v>45575</v>
      </c>
      <c r="B281" t="s">
        <v>36</v>
      </c>
      <c r="C281" t="s">
        <v>33</v>
      </c>
      <c r="D281" t="s">
        <v>43</v>
      </c>
      <c r="E281">
        <v>206.75</v>
      </c>
      <c r="F281">
        <v>1200</v>
      </c>
      <c r="G281">
        <v>1200</v>
      </c>
      <c r="J281" t="s">
        <v>27</v>
      </c>
      <c r="K281" t="s">
        <v>25</v>
      </c>
      <c r="L281" t="s">
        <v>35</v>
      </c>
      <c r="M281" t="s">
        <v>18</v>
      </c>
      <c r="N281">
        <v>7</v>
      </c>
      <c r="R281" t="s">
        <v>33</v>
      </c>
      <c r="S281">
        <v>1</v>
      </c>
      <c r="T281">
        <v>179.5</v>
      </c>
      <c r="U281" t="str">
        <f>_xlfn.IFNA(_xlfn.IFS(E281&gt;Dash!$D$46, "Big", E281&lt;Dash!$D$49, "Small", E281&gt;Dash!$D$47, "Good"), "Norm")</f>
        <v>Norm</v>
      </c>
      <c r="V281" t="s">
        <v>20</v>
      </c>
      <c r="W281">
        <v>244.25</v>
      </c>
      <c r="X281" t="s">
        <v>28</v>
      </c>
      <c r="Y281">
        <v>38.25</v>
      </c>
      <c r="Z281" t="str">
        <f>_xlfn.IFNA(_xlfn.IFS(Y281&gt;Dash!$E$46, "Big", Y281&lt;Dash!$E$49, "Small", Y281&gt;Dash!$E$47, "Good"), "Norm")</f>
        <v>Small</v>
      </c>
      <c r="AA281">
        <v>54.25</v>
      </c>
      <c r="AB281" t="str">
        <f>_xlfn.IFNA(_xlfn.IFS(AA281&gt;Dash!$F$46, "Big", AA281&lt;Dash!$F$49, "Small", AA281&gt;Dash!$F$47, "Good"), "Norm")</f>
        <v>Small</v>
      </c>
      <c r="AC281">
        <v>177</v>
      </c>
      <c r="AD281" t="str">
        <f>_xlfn.IFNA(_xlfn.IFS(AC281&gt;Dash!$G$46, "Big", AC281&lt;Dash!$G$49, "Small", AC281&gt;Dash!$G$47, "Good"), "Norm")</f>
        <v>Norm</v>
      </c>
      <c r="AE281">
        <v>135.75</v>
      </c>
      <c r="AF281" t="str">
        <f>_xlfn.IFNA(_xlfn.IFS(AE281&gt;Dash!$H$46, "Big", AE281&lt;Dash!$H$49, "Small", AE281&gt;Dash!$H$47, "Good"), "Norm")</f>
        <v>Norm</v>
      </c>
      <c r="AG281">
        <v>24</v>
      </c>
      <c r="AH281" t="str">
        <f>_xlfn.IFNA(_xlfn.IFS(AG281&gt;Dash!$I$46, "Big", AG281&lt;Dash!$I$49, "Small", AG281&gt;Dash!$I$47, "Good"), "Norm")</f>
        <v>Norm</v>
      </c>
    </row>
    <row r="282" spans="1:34" x14ac:dyDescent="0.25">
      <c r="A282" s="1">
        <v>45576</v>
      </c>
      <c r="B282" t="s">
        <v>26</v>
      </c>
      <c r="C282" t="s">
        <v>33</v>
      </c>
      <c r="D282">
        <v>1</v>
      </c>
      <c r="E282">
        <v>179.5</v>
      </c>
      <c r="J282" t="s">
        <v>34</v>
      </c>
      <c r="K282" t="s">
        <v>25</v>
      </c>
      <c r="L282" t="s">
        <v>35</v>
      </c>
      <c r="M282" t="s">
        <v>18</v>
      </c>
      <c r="N282">
        <v>7</v>
      </c>
      <c r="R282" t="s">
        <v>24</v>
      </c>
      <c r="S282" t="s">
        <v>28</v>
      </c>
      <c r="T282">
        <v>177.5</v>
      </c>
      <c r="U282" t="str">
        <f>_xlfn.IFNA(_xlfn.IFS(E282&gt;Dash!$D$46, "Big", E282&lt;Dash!$D$49, "Small", E282&gt;Dash!$D$47, "Good"), "Norm")</f>
        <v>Norm</v>
      </c>
      <c r="V282" t="s">
        <v>33</v>
      </c>
      <c r="W282">
        <v>206.75</v>
      </c>
      <c r="X282" t="s">
        <v>43</v>
      </c>
      <c r="Y282">
        <v>53.75</v>
      </c>
      <c r="Z282" t="str">
        <f>_xlfn.IFNA(_xlfn.IFS(Y282&gt;Dash!$E$46, "Big", Y282&lt;Dash!$E$49, "Small", Y282&gt;Dash!$E$47, "Good"), "Norm")</f>
        <v>Norm</v>
      </c>
      <c r="AA282">
        <v>79.25</v>
      </c>
      <c r="AB282" t="str">
        <f>_xlfn.IFNA(_xlfn.IFS(AA282&gt;Dash!$F$46, "Big", AA282&lt;Dash!$F$49, "Small", AA282&gt;Dash!$F$47, "Good"), "Norm")</f>
        <v>Norm</v>
      </c>
      <c r="AC282">
        <v>166.5</v>
      </c>
      <c r="AD282" t="str">
        <f>_xlfn.IFNA(_xlfn.IFS(AC282&gt;Dash!$G$46, "Big", AC282&lt;Dash!$G$49, "Small", AC282&gt;Dash!$G$47, "Good"), "Norm")</f>
        <v>Norm</v>
      </c>
      <c r="AE282">
        <v>89.75</v>
      </c>
      <c r="AF282" t="str">
        <f>_xlfn.IFNA(_xlfn.IFS(AE282&gt;Dash!$H$46, "Big", AE282&lt;Dash!$H$49, "Small", AE282&gt;Dash!$H$47, "Good"), "Norm")</f>
        <v>Small</v>
      </c>
      <c r="AG282">
        <v>47</v>
      </c>
      <c r="AH282" t="str">
        <f>_xlfn.IFNA(_xlfn.IFS(AG282&gt;Dash!$I$46, "Big", AG282&lt;Dash!$I$49, "Small", AG282&gt;Dash!$I$47, "Good"), "Norm")</f>
        <v>Good</v>
      </c>
    </row>
    <row r="283" spans="1:34" x14ac:dyDescent="0.25">
      <c r="A283" s="1">
        <v>45579</v>
      </c>
      <c r="B283" t="s">
        <v>23</v>
      </c>
      <c r="C283" t="s">
        <v>24</v>
      </c>
      <c r="D283" t="s">
        <v>28</v>
      </c>
      <c r="E283">
        <v>177.5</v>
      </c>
      <c r="F283">
        <v>600</v>
      </c>
      <c r="J283" t="s">
        <v>30</v>
      </c>
      <c r="K283" t="s">
        <v>31</v>
      </c>
      <c r="L283" t="s">
        <v>35</v>
      </c>
      <c r="M283" t="s">
        <v>36</v>
      </c>
      <c r="N283">
        <v>3</v>
      </c>
      <c r="R283" t="s">
        <v>33</v>
      </c>
      <c r="S283" t="s">
        <v>14</v>
      </c>
      <c r="T283">
        <v>405.25</v>
      </c>
      <c r="U283" t="str">
        <f>_xlfn.IFNA(_xlfn.IFS(E283&gt;Dash!$D$46, "Big", E283&lt;Dash!$D$49, "Small", E283&gt;Dash!$D$47, "Good"), "Norm")</f>
        <v>Norm</v>
      </c>
      <c r="V283" t="s">
        <v>33</v>
      </c>
      <c r="W283">
        <v>179.5</v>
      </c>
      <c r="X283">
        <v>1</v>
      </c>
      <c r="Y283">
        <v>67.5</v>
      </c>
      <c r="Z283" t="str">
        <f>_xlfn.IFNA(_xlfn.IFS(Y283&gt;Dash!$E$46, "Big", Y283&lt;Dash!$E$49, "Small", Y283&gt;Dash!$E$47, "Good"), "Norm")</f>
        <v>Norm</v>
      </c>
      <c r="AA283">
        <v>102.25</v>
      </c>
      <c r="AB283" t="str">
        <f>_xlfn.IFNA(_xlfn.IFS(AA283&gt;Dash!$F$46, "Big", AA283&lt;Dash!$F$49, "Small", AA283&gt;Dash!$F$47, "Good"), "Norm")</f>
        <v>Good</v>
      </c>
      <c r="AC283">
        <v>177.5</v>
      </c>
      <c r="AD283" t="str">
        <f>_xlfn.IFNA(_xlfn.IFS(AC283&gt;Dash!$G$46, "Big", AC283&lt;Dash!$G$49, "Small", AC283&gt;Dash!$G$47, "Good"), "Norm")</f>
        <v>Norm</v>
      </c>
      <c r="AE283">
        <v>88.75</v>
      </c>
      <c r="AF283" t="str">
        <f>_xlfn.IFNA(_xlfn.IFS(AE283&gt;Dash!$H$46, "Big", AE283&lt;Dash!$H$49, "Small", AE283&gt;Dash!$H$47, "Good"), "Norm")</f>
        <v>Small</v>
      </c>
      <c r="AG283">
        <v>38</v>
      </c>
      <c r="AH283" t="str">
        <f>_xlfn.IFNA(_xlfn.IFS(AG283&gt;Dash!$I$46, "Big", AG283&lt;Dash!$I$49, "Small", AG283&gt;Dash!$I$47, "Good"), "Norm")</f>
        <v>Good</v>
      </c>
    </row>
    <row r="284" spans="1:34" x14ac:dyDescent="0.25">
      <c r="A284" s="1">
        <v>45580</v>
      </c>
      <c r="B284" t="s">
        <v>19</v>
      </c>
      <c r="C284" t="s">
        <v>33</v>
      </c>
      <c r="D284" t="s">
        <v>14</v>
      </c>
      <c r="E284">
        <v>405.25</v>
      </c>
      <c r="F284">
        <v>1000</v>
      </c>
      <c r="G284">
        <v>1000</v>
      </c>
      <c r="J284" t="s">
        <v>45</v>
      </c>
      <c r="K284" t="s">
        <v>35</v>
      </c>
      <c r="L284" t="s">
        <v>17</v>
      </c>
      <c r="M284" t="s">
        <v>36</v>
      </c>
      <c r="N284">
        <v>3</v>
      </c>
      <c r="R284" t="s">
        <v>24</v>
      </c>
      <c r="S284" t="s">
        <v>46</v>
      </c>
      <c r="T284">
        <v>173</v>
      </c>
      <c r="U284" t="str">
        <f>_xlfn.IFNA(_xlfn.IFS(E284&gt;Dash!$D$46, "Big", E284&lt;Dash!$D$49, "Small", E284&gt;Dash!$D$47, "Good"), "Norm")</f>
        <v>Big</v>
      </c>
      <c r="V284" t="s">
        <v>24</v>
      </c>
      <c r="W284">
        <v>177.5</v>
      </c>
      <c r="X284" t="s">
        <v>28</v>
      </c>
      <c r="Y284">
        <v>50.75</v>
      </c>
      <c r="Z284" t="str">
        <f>_xlfn.IFNA(_xlfn.IFS(Y284&gt;Dash!$E$46, "Big", Y284&lt;Dash!$E$49, "Small", Y284&gt;Dash!$E$47, "Good"), "Norm")</f>
        <v>Norm</v>
      </c>
      <c r="AA284">
        <v>58.5</v>
      </c>
      <c r="AB284" t="str">
        <f>_xlfn.IFNA(_xlfn.IFS(AA284&gt;Dash!$F$46, "Big", AA284&lt;Dash!$F$49, "Small", AA284&gt;Dash!$F$47, "Good"), "Norm")</f>
        <v>Norm</v>
      </c>
      <c r="AC284">
        <v>328</v>
      </c>
      <c r="AD284" t="str">
        <f>_xlfn.IFNA(_xlfn.IFS(AC284&gt;Dash!$G$46, "Big", AC284&lt;Dash!$G$49, "Small", AC284&gt;Dash!$G$47, "Good"), "Norm")</f>
        <v>Big</v>
      </c>
      <c r="AE284">
        <v>162.5</v>
      </c>
      <c r="AF284" t="str">
        <f>_xlfn.IFNA(_xlfn.IFS(AE284&gt;Dash!$H$46, "Big", AE284&lt;Dash!$H$49, "Small", AE284&gt;Dash!$H$47, "Good"), "Norm")</f>
        <v>Good</v>
      </c>
      <c r="AG284">
        <v>34.75</v>
      </c>
      <c r="AH284" t="str">
        <f>_xlfn.IFNA(_xlfn.IFS(AG284&gt;Dash!$I$46, "Big", AG284&lt;Dash!$I$49, "Small", AG284&gt;Dash!$I$47, "Good"), "Norm")</f>
        <v>Norm</v>
      </c>
    </row>
    <row r="285" spans="1:34" x14ac:dyDescent="0.25">
      <c r="A285" s="1">
        <v>45581</v>
      </c>
      <c r="B285" t="s">
        <v>18</v>
      </c>
      <c r="C285" t="s">
        <v>24</v>
      </c>
      <c r="D285" t="s">
        <v>46</v>
      </c>
      <c r="E285">
        <v>173</v>
      </c>
      <c r="F285">
        <v>900</v>
      </c>
      <c r="G285">
        <v>1000</v>
      </c>
      <c r="J285" t="s">
        <v>45</v>
      </c>
      <c r="K285" t="s">
        <v>16</v>
      </c>
      <c r="L285" t="s">
        <v>25</v>
      </c>
      <c r="M285" t="s">
        <v>36</v>
      </c>
      <c r="N285">
        <v>3</v>
      </c>
      <c r="R285" t="s">
        <v>24</v>
      </c>
      <c r="S285" t="s">
        <v>28</v>
      </c>
      <c r="T285">
        <v>241</v>
      </c>
      <c r="U285" t="str">
        <f>_xlfn.IFNA(_xlfn.IFS(E285&gt;Dash!$D$46, "Big", E285&lt;Dash!$D$49, "Small", E285&gt;Dash!$D$47, "Good"), "Norm")</f>
        <v>Norm</v>
      </c>
      <c r="V285" t="s">
        <v>33</v>
      </c>
      <c r="W285">
        <v>405.25</v>
      </c>
      <c r="X285" t="s">
        <v>14</v>
      </c>
      <c r="Y285">
        <v>92.5</v>
      </c>
      <c r="Z285" t="str">
        <f>_xlfn.IFNA(_xlfn.IFS(Y285&gt;Dash!$E$46, "Big", Y285&lt;Dash!$E$49, "Small", Y285&gt;Dash!$E$47, "Good"), "Norm")</f>
        <v>Good</v>
      </c>
      <c r="AA285">
        <v>63.75</v>
      </c>
      <c r="AB285" t="str">
        <f>_xlfn.IFNA(_xlfn.IFS(AA285&gt;Dash!$F$46, "Big", AA285&lt;Dash!$F$49, "Small", AA285&gt;Dash!$F$47, "Good"), "Norm")</f>
        <v>Norm</v>
      </c>
      <c r="AC285">
        <v>172.25</v>
      </c>
      <c r="AD285" t="str">
        <f>_xlfn.IFNA(_xlfn.IFS(AC285&gt;Dash!$G$46, "Big", AC285&lt;Dash!$G$49, "Small", AC285&gt;Dash!$G$47, "Good"), "Norm")</f>
        <v>Norm</v>
      </c>
      <c r="AE285">
        <v>109.25</v>
      </c>
      <c r="AF285" t="str">
        <f>_xlfn.IFNA(_xlfn.IFS(AE285&gt;Dash!$H$46, "Big", AE285&lt;Dash!$H$49, "Small", AE285&gt;Dash!$H$47, "Good"), "Norm")</f>
        <v>Norm</v>
      </c>
      <c r="AG285">
        <v>29.75</v>
      </c>
      <c r="AH285" t="str">
        <f>_xlfn.IFNA(_xlfn.IFS(AG285&gt;Dash!$I$46, "Big", AG285&lt;Dash!$I$49, "Small", AG285&gt;Dash!$I$47, "Good"), "Norm")</f>
        <v>Norm</v>
      </c>
    </row>
    <row r="286" spans="1:34" x14ac:dyDescent="0.25">
      <c r="A286" s="1">
        <v>45582</v>
      </c>
      <c r="B286" t="s">
        <v>36</v>
      </c>
      <c r="C286" t="s">
        <v>24</v>
      </c>
      <c r="D286" t="s">
        <v>28</v>
      </c>
      <c r="E286">
        <v>241</v>
      </c>
      <c r="F286">
        <v>200</v>
      </c>
      <c r="G286">
        <v>1500</v>
      </c>
      <c r="J286" t="s">
        <v>30</v>
      </c>
      <c r="K286" t="s">
        <v>31</v>
      </c>
      <c r="L286" t="s">
        <v>35</v>
      </c>
      <c r="M286" t="s">
        <v>36</v>
      </c>
      <c r="N286">
        <v>3</v>
      </c>
      <c r="O286" t="s">
        <v>74</v>
      </c>
      <c r="R286" t="s">
        <v>24</v>
      </c>
      <c r="S286">
        <v>1</v>
      </c>
      <c r="T286">
        <v>96.75</v>
      </c>
      <c r="U286" t="str">
        <f>_xlfn.IFNA(_xlfn.IFS(E286&gt;Dash!$D$46, "Big", E286&lt;Dash!$D$49, "Small", E286&gt;Dash!$D$47, "Good"), "Norm")</f>
        <v>Norm</v>
      </c>
      <c r="V286" t="s">
        <v>24</v>
      </c>
      <c r="W286">
        <v>173</v>
      </c>
      <c r="X286" t="s">
        <v>46</v>
      </c>
      <c r="Y286">
        <v>71</v>
      </c>
      <c r="Z286" t="str">
        <f>_xlfn.IFNA(_xlfn.IFS(Y286&gt;Dash!$E$46, "Big", Y286&lt;Dash!$E$49, "Small", Y286&gt;Dash!$E$47, "Good"), "Norm")</f>
        <v>Norm</v>
      </c>
      <c r="AA286">
        <v>196</v>
      </c>
      <c r="AB286" t="str">
        <f>_xlfn.IFNA(_xlfn.IFS(AA286&gt;Dash!$F$46, "Big", AA286&lt;Dash!$F$49, "Small", AA286&gt;Dash!$F$47, "Good"), "Norm")</f>
        <v>Big</v>
      </c>
      <c r="AC286">
        <v>228.25</v>
      </c>
      <c r="AD286" t="str">
        <f>_xlfn.IFNA(_xlfn.IFS(AC286&gt;Dash!$G$46, "Big", AC286&lt;Dash!$G$49, "Small", AC286&gt;Dash!$G$47, "Good"), "Norm")</f>
        <v>Good</v>
      </c>
      <c r="AE286">
        <v>175</v>
      </c>
      <c r="AF286" t="str">
        <f>_xlfn.IFNA(_xlfn.IFS(AE286&gt;Dash!$H$46, "Big", AE286&lt;Dash!$H$49, "Small", AE286&gt;Dash!$H$47, "Good"), "Norm")</f>
        <v>Good</v>
      </c>
      <c r="AG286">
        <v>56.75</v>
      </c>
      <c r="AH286" t="str">
        <f>_xlfn.IFNA(_xlfn.IFS(AG286&gt;Dash!$I$46, "Big", AG286&lt;Dash!$I$49, "Small", AG286&gt;Dash!$I$47, "Good"), "Norm")</f>
        <v>Good</v>
      </c>
    </row>
    <row r="287" spans="1:34" x14ac:dyDescent="0.25">
      <c r="A287" s="1">
        <v>45583</v>
      </c>
      <c r="B287" t="s">
        <v>26</v>
      </c>
      <c r="C287" t="s">
        <v>24</v>
      </c>
      <c r="D287">
        <v>1</v>
      </c>
      <c r="E287">
        <v>96.75</v>
      </c>
      <c r="J287" t="s">
        <v>34</v>
      </c>
      <c r="K287" t="s">
        <v>31</v>
      </c>
      <c r="L287" t="s">
        <v>35</v>
      </c>
      <c r="M287" t="s">
        <v>36</v>
      </c>
      <c r="N287">
        <v>3</v>
      </c>
      <c r="R287" t="s">
        <v>41</v>
      </c>
      <c r="S287" t="s">
        <v>28</v>
      </c>
      <c r="T287">
        <v>209.5</v>
      </c>
      <c r="U287" t="str">
        <f>_xlfn.IFNA(_xlfn.IFS(E287&gt;Dash!$D$46, "Big", E287&lt;Dash!$D$49, "Small", E287&gt;Dash!$D$47, "Good"), "Norm")</f>
        <v>Small</v>
      </c>
      <c r="V287" t="s">
        <v>24</v>
      </c>
      <c r="W287">
        <v>241</v>
      </c>
      <c r="X287" t="s">
        <v>28</v>
      </c>
      <c r="Y287">
        <v>93.75</v>
      </c>
      <c r="Z287" t="str">
        <f>_xlfn.IFNA(_xlfn.IFS(Y287&gt;Dash!$E$46, "Big", Y287&lt;Dash!$E$49, "Small", Y287&gt;Dash!$E$47, "Good"), "Norm")</f>
        <v>Good</v>
      </c>
      <c r="AA287">
        <v>82.75</v>
      </c>
      <c r="AB287" t="str">
        <f>_xlfn.IFNA(_xlfn.IFS(AA287&gt;Dash!$F$46, "Big", AA287&lt;Dash!$F$49, "Small", AA287&gt;Dash!$F$47, "Good"), "Norm")</f>
        <v>Norm</v>
      </c>
      <c r="AC287">
        <v>96.75</v>
      </c>
      <c r="AD287" t="str">
        <f>_xlfn.IFNA(_xlfn.IFS(AC287&gt;Dash!$G$46, "Big", AC287&lt;Dash!$G$49, "Small", AC287&gt;Dash!$G$47, "Good"), "Norm")</f>
        <v>Small</v>
      </c>
      <c r="AE287">
        <v>81.75</v>
      </c>
      <c r="AF287" t="str">
        <f>_xlfn.IFNA(_xlfn.IFS(AE287&gt;Dash!$H$46, "Big", AE287&lt;Dash!$H$49, "Small", AE287&gt;Dash!$H$47, "Good"), "Norm")</f>
        <v>Small</v>
      </c>
      <c r="AG287">
        <v>30.25</v>
      </c>
      <c r="AH287" t="str">
        <f>_xlfn.IFNA(_xlfn.IFS(AG287&gt;Dash!$I$46, "Big", AG287&lt;Dash!$I$49, "Small", AG287&gt;Dash!$I$47, "Good"), "Norm")</f>
        <v>Norm</v>
      </c>
    </row>
    <row r="288" spans="1:34" x14ac:dyDescent="0.25">
      <c r="A288" s="1">
        <v>45586</v>
      </c>
      <c r="B288" t="s">
        <v>23</v>
      </c>
      <c r="C288" t="s">
        <v>41</v>
      </c>
      <c r="D288" t="s">
        <v>28</v>
      </c>
      <c r="E288">
        <v>209.5</v>
      </c>
      <c r="F288">
        <v>1000</v>
      </c>
      <c r="G288">
        <v>1000</v>
      </c>
      <c r="J288" t="s">
        <v>27</v>
      </c>
      <c r="K288" t="s">
        <v>39</v>
      </c>
      <c r="L288" t="s">
        <v>35</v>
      </c>
      <c r="M288" t="s">
        <v>36</v>
      </c>
      <c r="N288">
        <v>3</v>
      </c>
      <c r="R288" t="s">
        <v>33</v>
      </c>
      <c r="S288" t="s">
        <v>28</v>
      </c>
      <c r="T288">
        <v>242</v>
      </c>
      <c r="U288" t="str">
        <f>_xlfn.IFNA(_xlfn.IFS(E288&gt;Dash!$D$46, "Big", E288&lt;Dash!$D$49, "Small", E288&gt;Dash!$D$47, "Good"), "Norm")</f>
        <v>Norm</v>
      </c>
      <c r="V288" t="s">
        <v>24</v>
      </c>
      <c r="W288">
        <v>96.75</v>
      </c>
      <c r="X288">
        <v>1</v>
      </c>
      <c r="Y288">
        <v>81.75</v>
      </c>
      <c r="Z288" t="str">
        <f>_xlfn.IFNA(_xlfn.IFS(Y288&gt;Dash!$E$46, "Big", Y288&lt;Dash!$E$49, "Small", Y288&gt;Dash!$E$47, "Good"), "Norm")</f>
        <v>Good</v>
      </c>
      <c r="AA288">
        <v>117</v>
      </c>
      <c r="AB288" t="str">
        <f>_xlfn.IFNA(_xlfn.IFS(AA288&gt;Dash!$F$46, "Big", AA288&lt;Dash!$F$49, "Small", AA288&gt;Dash!$F$47, "Good"), "Norm")</f>
        <v>Good</v>
      </c>
      <c r="AC288">
        <v>209.5</v>
      </c>
      <c r="AD288" t="str">
        <f>_xlfn.IFNA(_xlfn.IFS(AC288&gt;Dash!$G$46, "Big", AC288&lt;Dash!$G$49, "Small", AC288&gt;Dash!$G$47, "Good"), "Norm")</f>
        <v>Good</v>
      </c>
      <c r="AE288">
        <v>97</v>
      </c>
      <c r="AF288" t="str">
        <f>_xlfn.IFNA(_xlfn.IFS(AE288&gt;Dash!$H$46, "Big", AE288&lt;Dash!$H$49, "Small", AE288&gt;Dash!$H$47, "Good"), "Norm")</f>
        <v>Norm</v>
      </c>
      <c r="AG288">
        <v>35.5</v>
      </c>
      <c r="AH288" t="str">
        <f>_xlfn.IFNA(_xlfn.IFS(AG288&gt;Dash!$I$46, "Big", AG288&lt;Dash!$I$49, "Small", AG288&gt;Dash!$I$47, "Good"), "Norm")</f>
        <v>Norm</v>
      </c>
    </row>
    <row r="289" spans="1:34" x14ac:dyDescent="0.25">
      <c r="A289" s="1">
        <v>45587</v>
      </c>
      <c r="B289" t="s">
        <v>19</v>
      </c>
      <c r="C289" t="s">
        <v>33</v>
      </c>
      <c r="D289" t="s">
        <v>28</v>
      </c>
      <c r="E289">
        <v>242</v>
      </c>
      <c r="F289">
        <v>1300</v>
      </c>
      <c r="G289">
        <v>1400</v>
      </c>
      <c r="J289" t="s">
        <v>49</v>
      </c>
      <c r="K289" t="s">
        <v>25</v>
      </c>
      <c r="L289" t="s">
        <v>32</v>
      </c>
      <c r="M289" t="s">
        <v>36</v>
      </c>
      <c r="N289">
        <v>3</v>
      </c>
      <c r="R289" t="s">
        <v>20</v>
      </c>
      <c r="S289" t="s">
        <v>14</v>
      </c>
      <c r="T289">
        <v>415.5</v>
      </c>
      <c r="U289" t="str">
        <f>_xlfn.IFNA(_xlfn.IFS(E289&gt;Dash!$D$46, "Big", E289&lt;Dash!$D$49, "Small", E289&gt;Dash!$D$47, "Good"), "Norm")</f>
        <v>Norm</v>
      </c>
      <c r="V289" t="s">
        <v>41</v>
      </c>
      <c r="W289">
        <v>209.5</v>
      </c>
      <c r="X289" t="s">
        <v>28</v>
      </c>
      <c r="Y289">
        <v>103.75</v>
      </c>
      <c r="Z289" t="str">
        <f>_xlfn.IFNA(_xlfn.IFS(Y289&gt;Dash!$E$46, "Big", Y289&lt;Dash!$E$49, "Small", Y289&gt;Dash!$E$47, "Good"), "Norm")</f>
        <v>Good</v>
      </c>
      <c r="AA289">
        <v>112.25</v>
      </c>
      <c r="AB289" t="str">
        <f>_xlfn.IFNA(_xlfn.IFS(AA289&gt;Dash!$F$46, "Big", AA289&lt;Dash!$F$49, "Small", AA289&gt;Dash!$F$47, "Good"), "Norm")</f>
        <v>Good</v>
      </c>
      <c r="AC289">
        <v>159.75</v>
      </c>
      <c r="AD289" t="str">
        <f>_xlfn.IFNA(_xlfn.IFS(AC289&gt;Dash!$G$46, "Big", AC289&lt;Dash!$G$49, "Small", AC289&gt;Dash!$G$47, "Good"), "Norm")</f>
        <v>Norm</v>
      </c>
      <c r="AE289">
        <v>177</v>
      </c>
      <c r="AF289" t="str">
        <f>_xlfn.IFNA(_xlfn.IFS(AE289&gt;Dash!$H$46, "Big", AE289&lt;Dash!$H$49, "Small", AE289&gt;Dash!$H$47, "Good"), "Norm")</f>
        <v>Good</v>
      </c>
      <c r="AG289">
        <v>33.75</v>
      </c>
      <c r="AH289" t="str">
        <f>_xlfn.IFNA(_xlfn.IFS(AG289&gt;Dash!$I$46, "Big", AG289&lt;Dash!$I$49, "Small", AG289&gt;Dash!$I$47, "Good"), "Norm")</f>
        <v>Norm</v>
      </c>
    </row>
    <row r="290" spans="1:34" x14ac:dyDescent="0.25">
      <c r="A290" s="1">
        <v>45588</v>
      </c>
      <c r="B290" t="s">
        <v>18</v>
      </c>
      <c r="C290" t="s">
        <v>20</v>
      </c>
      <c r="D290" t="s">
        <v>14</v>
      </c>
      <c r="E290">
        <v>415.5</v>
      </c>
      <c r="F290">
        <v>1000</v>
      </c>
      <c r="G290">
        <v>1000</v>
      </c>
      <c r="J290" t="s">
        <v>45</v>
      </c>
      <c r="K290" t="s">
        <v>22</v>
      </c>
      <c r="L290" t="s">
        <v>17</v>
      </c>
      <c r="M290" t="s">
        <v>36</v>
      </c>
      <c r="N290">
        <v>3</v>
      </c>
      <c r="O290" t="s">
        <v>63</v>
      </c>
      <c r="R290" t="s">
        <v>33</v>
      </c>
      <c r="S290">
        <v>1</v>
      </c>
      <c r="T290">
        <v>166.75</v>
      </c>
      <c r="U290" t="str">
        <f>_xlfn.IFNA(_xlfn.IFS(E290&gt;Dash!$D$46, "Big", E290&lt;Dash!$D$49, "Small", E290&gt;Dash!$D$47, "Good"), "Norm")</f>
        <v>Big</v>
      </c>
      <c r="V290" t="s">
        <v>33</v>
      </c>
      <c r="W290">
        <v>242</v>
      </c>
      <c r="X290" t="s">
        <v>28</v>
      </c>
      <c r="Y290">
        <v>45.5</v>
      </c>
      <c r="Z290" t="str">
        <f>_xlfn.IFNA(_xlfn.IFS(Y290&gt;Dash!$E$46, "Big", Y290&lt;Dash!$E$49, "Small", Y290&gt;Dash!$E$47, "Good"), "Norm")</f>
        <v>Norm</v>
      </c>
      <c r="AA290">
        <v>94</v>
      </c>
      <c r="AB290" t="str">
        <f>_xlfn.IFNA(_xlfn.IFS(AA290&gt;Dash!$F$46, "Big", AA290&lt;Dash!$F$49, "Small", AA290&gt;Dash!$F$47, "Good"), "Norm")</f>
        <v>Norm</v>
      </c>
      <c r="AC290">
        <v>191.5</v>
      </c>
      <c r="AD290" t="str">
        <f>_xlfn.IFNA(_xlfn.IFS(AC290&gt;Dash!$G$46, "Big", AC290&lt;Dash!$G$49, "Small", AC290&gt;Dash!$G$47, "Good"), "Norm")</f>
        <v>Norm</v>
      </c>
      <c r="AE290">
        <v>279</v>
      </c>
      <c r="AF290" t="str">
        <f>_xlfn.IFNA(_xlfn.IFS(AE290&gt;Dash!$H$46, "Big", AE290&lt;Dash!$H$49, "Small", AE290&gt;Dash!$H$47, "Good"), "Norm")</f>
        <v>Big</v>
      </c>
      <c r="AG290">
        <v>93.5</v>
      </c>
      <c r="AH290" t="str">
        <f>_xlfn.IFNA(_xlfn.IFS(AG290&gt;Dash!$I$46, "Big", AG290&lt;Dash!$I$49, "Small", AG290&gt;Dash!$I$47, "Good"), "Norm")</f>
        <v>Big</v>
      </c>
    </row>
    <row r="291" spans="1:34" x14ac:dyDescent="0.25">
      <c r="A291" s="1">
        <v>45589</v>
      </c>
      <c r="B291" t="s">
        <v>36</v>
      </c>
      <c r="C291" t="s">
        <v>33</v>
      </c>
      <c r="D291">
        <v>1</v>
      </c>
      <c r="E291">
        <v>166.75</v>
      </c>
      <c r="J291" t="s">
        <v>34</v>
      </c>
      <c r="K291" t="s">
        <v>35</v>
      </c>
      <c r="L291" t="s">
        <v>25</v>
      </c>
      <c r="M291" t="s">
        <v>36</v>
      </c>
      <c r="N291">
        <v>3</v>
      </c>
      <c r="R291" t="s">
        <v>24</v>
      </c>
      <c r="S291" t="s">
        <v>28</v>
      </c>
      <c r="T291">
        <v>264.25</v>
      </c>
      <c r="U291" t="str">
        <f>_xlfn.IFNA(_xlfn.IFS(E291&gt;Dash!$D$46, "Big", E291&lt;Dash!$D$49, "Small", E291&gt;Dash!$D$47, "Good"), "Norm")</f>
        <v>Norm</v>
      </c>
      <c r="V291" t="s">
        <v>20</v>
      </c>
      <c r="W291">
        <v>415.5</v>
      </c>
      <c r="X291" t="s">
        <v>14</v>
      </c>
      <c r="Y291">
        <v>75.5</v>
      </c>
      <c r="Z291" t="str">
        <f>_xlfn.IFNA(_xlfn.IFS(Y291&gt;Dash!$E$46, "Big", Y291&lt;Dash!$E$49, "Small", Y291&gt;Dash!$E$47, "Good"), "Norm")</f>
        <v>Norm</v>
      </c>
      <c r="AA291">
        <v>105.25</v>
      </c>
      <c r="AB291" t="str">
        <f>_xlfn.IFNA(_xlfn.IFS(AA291&gt;Dash!$F$46, "Big", AA291&lt;Dash!$F$49, "Small", AA291&gt;Dash!$F$47, "Good"), "Norm")</f>
        <v>Good</v>
      </c>
      <c r="AC291">
        <v>164.25</v>
      </c>
      <c r="AD291" t="str">
        <f>_xlfn.IFNA(_xlfn.IFS(AC291&gt;Dash!$G$46, "Big", AC291&lt;Dash!$G$49, "Small", AC291&gt;Dash!$G$47, "Good"), "Norm")</f>
        <v>Norm</v>
      </c>
      <c r="AE291">
        <v>146.75</v>
      </c>
      <c r="AF291" t="str">
        <f>_xlfn.IFNA(_xlfn.IFS(AE291&gt;Dash!$H$46, "Big", AE291&lt;Dash!$H$49, "Small", AE291&gt;Dash!$H$47, "Good"), "Norm")</f>
        <v>Norm</v>
      </c>
      <c r="AG291">
        <v>42</v>
      </c>
      <c r="AH291" t="str">
        <f>_xlfn.IFNA(_xlfn.IFS(AG291&gt;Dash!$I$46, "Big", AG291&lt;Dash!$I$49, "Small", AG291&gt;Dash!$I$47, "Good"), "Norm")</f>
        <v>Good</v>
      </c>
    </row>
    <row r="292" spans="1:34" x14ac:dyDescent="0.25">
      <c r="A292" s="1">
        <v>45590</v>
      </c>
      <c r="B292" t="s">
        <v>26</v>
      </c>
      <c r="C292" t="s">
        <v>24</v>
      </c>
      <c r="D292" t="s">
        <v>28</v>
      </c>
      <c r="E292">
        <v>264.25</v>
      </c>
      <c r="F292">
        <v>300</v>
      </c>
      <c r="G292">
        <v>400</v>
      </c>
      <c r="J292" t="s">
        <v>30</v>
      </c>
      <c r="K292" t="s">
        <v>31</v>
      </c>
      <c r="L292" t="s">
        <v>35</v>
      </c>
      <c r="M292" t="s">
        <v>36</v>
      </c>
      <c r="N292">
        <v>3</v>
      </c>
      <c r="R292" t="s">
        <v>20</v>
      </c>
      <c r="S292">
        <v>1</v>
      </c>
      <c r="T292">
        <v>179.75</v>
      </c>
      <c r="U292" t="str">
        <f>_xlfn.IFNA(_xlfn.IFS(E292&gt;Dash!$D$46, "Big", E292&lt;Dash!$D$49, "Small", E292&gt;Dash!$D$47, "Good"), "Norm")</f>
        <v>Good</v>
      </c>
      <c r="V292" t="s">
        <v>33</v>
      </c>
      <c r="W292">
        <v>166.75</v>
      </c>
      <c r="X292">
        <v>1</v>
      </c>
      <c r="Y292">
        <v>48.75</v>
      </c>
      <c r="Z292" t="str">
        <f>_xlfn.IFNA(_xlfn.IFS(Y292&gt;Dash!$E$46, "Big", Y292&lt;Dash!$E$49, "Small", Y292&gt;Dash!$E$47, "Good"), "Norm")</f>
        <v>Norm</v>
      </c>
      <c r="AA292">
        <v>75.5</v>
      </c>
      <c r="AB292" t="str">
        <f>_xlfn.IFNA(_xlfn.IFS(AA292&gt;Dash!$F$46, "Big", AA292&lt;Dash!$F$49, "Small", AA292&gt;Dash!$F$47, "Good"), "Norm")</f>
        <v>Norm</v>
      </c>
      <c r="AC292">
        <v>264.25</v>
      </c>
      <c r="AD292" t="str">
        <f>_xlfn.IFNA(_xlfn.IFS(AC292&gt;Dash!$G$46, "Big", AC292&lt;Dash!$G$49, "Small", AC292&gt;Dash!$G$47, "Good"), "Norm")</f>
        <v>Good</v>
      </c>
      <c r="AE292">
        <v>204.75</v>
      </c>
      <c r="AF292" t="str">
        <f>_xlfn.IFNA(_xlfn.IFS(AE292&gt;Dash!$H$46, "Big", AE292&lt;Dash!$H$49, "Small", AE292&gt;Dash!$H$47, "Good"), "Norm")</f>
        <v>Good</v>
      </c>
      <c r="AG292">
        <v>32.25</v>
      </c>
      <c r="AH292" t="str">
        <f>_xlfn.IFNA(_xlfn.IFS(AG292&gt;Dash!$I$46, "Big", AG292&lt;Dash!$I$49, "Small", AG292&gt;Dash!$I$47, "Good"), "Norm")</f>
        <v>Norm</v>
      </c>
    </row>
    <row r="293" spans="1:34" x14ac:dyDescent="0.25">
      <c r="A293" s="1">
        <v>45593</v>
      </c>
      <c r="B293" t="s">
        <v>23</v>
      </c>
      <c r="C293" t="s">
        <v>20</v>
      </c>
      <c r="D293">
        <v>1</v>
      </c>
      <c r="E293">
        <v>179.75</v>
      </c>
      <c r="J293" t="s">
        <v>34</v>
      </c>
      <c r="K293" t="s">
        <v>22</v>
      </c>
      <c r="L293" t="s">
        <v>17</v>
      </c>
      <c r="M293" t="s">
        <v>19</v>
      </c>
      <c r="N293">
        <v>11</v>
      </c>
      <c r="R293" t="s">
        <v>33</v>
      </c>
      <c r="S293" t="s">
        <v>38</v>
      </c>
      <c r="T293">
        <v>314.25</v>
      </c>
      <c r="U293" t="str">
        <f>_xlfn.IFNA(_xlfn.IFS(E293&gt;Dash!$D$46, "Big", E293&lt;Dash!$D$49, "Small", E293&gt;Dash!$D$47, "Good"), "Norm")</f>
        <v>Norm</v>
      </c>
      <c r="V293" t="s">
        <v>24</v>
      </c>
      <c r="W293">
        <v>264.25</v>
      </c>
      <c r="X293" t="s">
        <v>28</v>
      </c>
      <c r="Y293">
        <v>133.25</v>
      </c>
      <c r="Z293" t="str">
        <f>_xlfn.IFNA(_xlfn.IFS(Y293&gt;Dash!$E$46, "Big", Y293&lt;Dash!$E$49, "Small", Y293&gt;Dash!$E$47, "Good"), "Norm")</f>
        <v>Good</v>
      </c>
      <c r="AA293">
        <v>74.75</v>
      </c>
      <c r="AB293" t="str">
        <f>_xlfn.IFNA(_xlfn.IFS(AA293&gt;Dash!$F$46, "Big", AA293&lt;Dash!$F$49, "Small", AA293&gt;Dash!$F$47, "Good"), "Norm")</f>
        <v>Norm</v>
      </c>
      <c r="AC293">
        <v>145.25</v>
      </c>
      <c r="AD293" t="str">
        <f>_xlfn.IFNA(_xlfn.IFS(AC293&gt;Dash!$G$46, "Big", AC293&lt;Dash!$G$49, "Small", AC293&gt;Dash!$G$47, "Good"), "Norm")</f>
        <v>Norm</v>
      </c>
      <c r="AE293">
        <v>85.5</v>
      </c>
      <c r="AF293" t="str">
        <f>_xlfn.IFNA(_xlfn.IFS(AE293&gt;Dash!$H$46, "Big", AE293&lt;Dash!$H$49, "Small", AE293&gt;Dash!$H$47, "Good"), "Norm")</f>
        <v>Small</v>
      </c>
      <c r="AG293">
        <v>32.75</v>
      </c>
      <c r="AH293" t="str">
        <f>_xlfn.IFNA(_xlfn.IFS(AG293&gt;Dash!$I$46, "Big", AG293&lt;Dash!$I$49, "Small", AG293&gt;Dash!$I$47, "Good"), "Norm")</f>
        <v>Norm</v>
      </c>
    </row>
    <row r="294" spans="1:34" x14ac:dyDescent="0.25">
      <c r="A294" s="1">
        <v>45594</v>
      </c>
      <c r="B294" t="s">
        <v>19</v>
      </c>
      <c r="C294" t="s">
        <v>33</v>
      </c>
      <c r="D294" t="s">
        <v>38</v>
      </c>
      <c r="E294">
        <v>314.25</v>
      </c>
      <c r="F294">
        <v>2000</v>
      </c>
      <c r="G294">
        <v>2000</v>
      </c>
      <c r="H294">
        <v>1300</v>
      </c>
      <c r="J294" t="s">
        <v>45</v>
      </c>
      <c r="K294" t="s">
        <v>25</v>
      </c>
      <c r="L294" t="s">
        <v>32</v>
      </c>
      <c r="M294" t="s">
        <v>19</v>
      </c>
      <c r="N294">
        <v>11</v>
      </c>
      <c r="O294" t="s">
        <v>75</v>
      </c>
      <c r="R294" t="s">
        <v>13</v>
      </c>
      <c r="S294" t="s">
        <v>14</v>
      </c>
      <c r="T294">
        <v>219.75</v>
      </c>
      <c r="U294" t="str">
        <f>_xlfn.IFNA(_xlfn.IFS(E294&gt;Dash!$D$46, "Big", E294&lt;Dash!$D$49, "Small", E294&gt;Dash!$D$47, "Good"), "Norm")</f>
        <v>Good</v>
      </c>
      <c r="V294" t="s">
        <v>20</v>
      </c>
      <c r="W294">
        <v>179.75</v>
      </c>
      <c r="X294">
        <v>1</v>
      </c>
      <c r="Y294">
        <v>74.5</v>
      </c>
      <c r="Z294" t="str">
        <f>_xlfn.IFNA(_xlfn.IFS(Y294&gt;Dash!$E$46, "Big", Y294&lt;Dash!$E$49, "Small", Y294&gt;Dash!$E$47, "Good"), "Norm")</f>
        <v>Norm</v>
      </c>
      <c r="AA294">
        <v>73</v>
      </c>
      <c r="AB294" t="str">
        <f>_xlfn.IFNA(_xlfn.IFS(AA294&gt;Dash!$F$46, "Big", AA294&lt;Dash!$F$49, "Small", AA294&gt;Dash!$F$47, "Good"), "Norm")</f>
        <v>Norm</v>
      </c>
      <c r="AC294">
        <v>193</v>
      </c>
      <c r="AD294" t="str">
        <f>_xlfn.IFNA(_xlfn.IFS(AC294&gt;Dash!$G$46, "Big", AC294&lt;Dash!$G$49, "Small", AC294&gt;Dash!$G$47, "Good"), "Norm")</f>
        <v>Norm</v>
      </c>
      <c r="AE294">
        <v>161.24</v>
      </c>
      <c r="AF294" t="str">
        <f>_xlfn.IFNA(_xlfn.IFS(AE294&gt;Dash!$H$46, "Big", AE294&lt;Dash!$H$49, "Small", AE294&gt;Dash!$H$47, "Good"), "Norm")</f>
        <v>Good</v>
      </c>
      <c r="AG294">
        <v>71.5</v>
      </c>
      <c r="AH294" t="str">
        <f>_xlfn.IFNA(_xlfn.IFS(AG294&gt;Dash!$I$46, "Big", AG294&lt;Dash!$I$49, "Small", AG294&gt;Dash!$I$47, "Good"), "Norm")</f>
        <v>Good</v>
      </c>
    </row>
    <row r="295" spans="1:34" x14ac:dyDescent="0.25">
      <c r="A295" s="1">
        <v>45595</v>
      </c>
      <c r="B295" t="s">
        <v>18</v>
      </c>
      <c r="C295" t="s">
        <v>13</v>
      </c>
      <c r="D295" t="s">
        <v>14</v>
      </c>
      <c r="E295">
        <v>219.75</v>
      </c>
      <c r="F295">
        <v>2000</v>
      </c>
      <c r="G295">
        <v>2200</v>
      </c>
      <c r="J295" t="s">
        <v>29</v>
      </c>
      <c r="K295" t="s">
        <v>16</v>
      </c>
      <c r="L295" t="s">
        <v>42</v>
      </c>
      <c r="M295" t="s">
        <v>19</v>
      </c>
      <c r="N295">
        <v>11</v>
      </c>
      <c r="O295" t="s">
        <v>76</v>
      </c>
      <c r="R295" t="s">
        <v>13</v>
      </c>
      <c r="S295" t="s">
        <v>14</v>
      </c>
      <c r="T295">
        <v>407.75</v>
      </c>
      <c r="U295" t="str">
        <f>_xlfn.IFNA(_xlfn.IFS(E295&gt;Dash!$D$46, "Big", E295&lt;Dash!$D$49, "Small", E295&gt;Dash!$D$47, "Good"), "Norm")</f>
        <v>Norm</v>
      </c>
      <c r="V295" t="s">
        <v>33</v>
      </c>
      <c r="W295">
        <v>314.25</v>
      </c>
      <c r="X295" t="s">
        <v>38</v>
      </c>
      <c r="Y295">
        <v>86</v>
      </c>
      <c r="Z295" t="str">
        <f>_xlfn.IFNA(_xlfn.IFS(Y295&gt;Dash!$E$46, "Big", Y295&lt;Dash!$E$49, "Small", Y295&gt;Dash!$E$47, "Good"), "Norm")</f>
        <v>Good</v>
      </c>
      <c r="AA295">
        <v>58.75</v>
      </c>
      <c r="AB295" t="str">
        <f>_xlfn.IFNA(_xlfn.IFS(AA295&gt;Dash!$F$46, "Big", AA295&lt;Dash!$F$49, "Small", AA295&gt;Dash!$F$47, "Good"), "Norm")</f>
        <v>Norm</v>
      </c>
      <c r="AC295">
        <v>191.75</v>
      </c>
      <c r="AD295" t="str">
        <f>_xlfn.IFNA(_xlfn.IFS(AC295&gt;Dash!$G$46, "Big", AC295&lt;Dash!$G$49, "Small", AC295&gt;Dash!$G$47, "Good"), "Norm")</f>
        <v>Norm</v>
      </c>
      <c r="AE295">
        <v>168</v>
      </c>
      <c r="AF295" t="str">
        <f>_xlfn.IFNA(_xlfn.IFS(AE295&gt;Dash!$H$46, "Big", AE295&lt;Dash!$H$49, "Small", AE295&gt;Dash!$H$47, "Good"), "Norm")</f>
        <v>Good</v>
      </c>
      <c r="AG295">
        <v>116.25</v>
      </c>
      <c r="AH295" t="str">
        <f>_xlfn.IFNA(_xlfn.IFS(AG295&gt;Dash!$I$46, "Big", AG295&lt;Dash!$I$49, "Small", AG295&gt;Dash!$I$47, "Good"), "Norm")</f>
        <v>Big</v>
      </c>
    </row>
    <row r="296" spans="1:34" x14ac:dyDescent="0.25">
      <c r="A296" s="1">
        <v>45596</v>
      </c>
      <c r="B296" t="s">
        <v>36</v>
      </c>
      <c r="C296" t="s">
        <v>13</v>
      </c>
      <c r="D296" t="s">
        <v>14</v>
      </c>
      <c r="E296">
        <v>407.75</v>
      </c>
      <c r="F296">
        <v>1800</v>
      </c>
      <c r="J296" t="s">
        <v>37</v>
      </c>
      <c r="K296" t="s">
        <v>16</v>
      </c>
      <c r="L296" t="s">
        <v>17</v>
      </c>
      <c r="M296" t="s">
        <v>19</v>
      </c>
      <c r="N296">
        <v>11</v>
      </c>
      <c r="O296" t="s">
        <v>73</v>
      </c>
      <c r="R296" t="s">
        <v>24</v>
      </c>
      <c r="S296">
        <v>1</v>
      </c>
      <c r="T296">
        <v>230.5</v>
      </c>
      <c r="U296" t="str">
        <f>_xlfn.IFNA(_xlfn.IFS(E296&gt;Dash!$D$46, "Big", E296&lt;Dash!$D$49, "Small", E296&gt;Dash!$D$47, "Good"), "Norm")</f>
        <v>Big</v>
      </c>
      <c r="V296" t="s">
        <v>13</v>
      </c>
      <c r="W296">
        <v>219.75</v>
      </c>
      <c r="X296" t="s">
        <v>14</v>
      </c>
      <c r="Y296">
        <v>111.75</v>
      </c>
      <c r="Z296" t="str">
        <f>_xlfn.IFNA(_xlfn.IFS(Y296&gt;Dash!$E$46, "Big", Y296&lt;Dash!$E$49, "Small", Y296&gt;Dash!$E$47, "Good"), "Norm")</f>
        <v>Good</v>
      </c>
      <c r="AA296">
        <v>109.75</v>
      </c>
      <c r="AB296" t="str">
        <f>_xlfn.IFNA(_xlfn.IFS(AA296&gt;Dash!$F$46, "Big", AA296&lt;Dash!$F$49, "Small", AA296&gt;Dash!$F$47, "Good"), "Norm")</f>
        <v>Good</v>
      </c>
      <c r="AC296">
        <v>393.75</v>
      </c>
      <c r="AD296" t="str">
        <f>_xlfn.IFNA(_xlfn.IFS(AC296&gt;Dash!$G$46, "Big", AC296&lt;Dash!$G$49, "Small", AC296&gt;Dash!$G$47, "Good"), "Norm")</f>
        <v>Big</v>
      </c>
      <c r="AE296">
        <v>122.75</v>
      </c>
      <c r="AF296" t="str">
        <f>_xlfn.IFNA(_xlfn.IFS(AE296&gt;Dash!$H$46, "Big", AE296&lt;Dash!$H$49, "Small", AE296&gt;Dash!$H$47, "Good"), "Norm")</f>
        <v>Norm</v>
      </c>
      <c r="AG296">
        <v>92</v>
      </c>
      <c r="AH296" t="str">
        <f>_xlfn.IFNA(_xlfn.IFS(AG296&gt;Dash!$I$46, "Big", AG296&lt;Dash!$I$49, "Small", AG296&gt;Dash!$I$47, "Good"), "Norm")</f>
        <v>Big</v>
      </c>
    </row>
    <row r="297" spans="1:34" x14ac:dyDescent="0.25">
      <c r="A297" s="1">
        <v>45597</v>
      </c>
      <c r="B297" t="s">
        <v>26</v>
      </c>
      <c r="C297" t="s">
        <v>24</v>
      </c>
      <c r="D297">
        <v>1</v>
      </c>
      <c r="E297">
        <v>230.5</v>
      </c>
      <c r="J297" t="s">
        <v>34</v>
      </c>
      <c r="K297" t="s">
        <v>31</v>
      </c>
      <c r="L297" t="s">
        <v>35</v>
      </c>
      <c r="M297" t="s">
        <v>19</v>
      </c>
      <c r="N297">
        <v>11</v>
      </c>
      <c r="R297" t="s">
        <v>24</v>
      </c>
      <c r="S297" t="s">
        <v>14</v>
      </c>
      <c r="T297">
        <v>213.75</v>
      </c>
      <c r="U297" t="str">
        <f>_xlfn.IFNA(_xlfn.IFS(E297&gt;Dash!$D$46, "Big", E297&lt;Dash!$D$49, "Small", E297&gt;Dash!$D$47, "Good"), "Norm")</f>
        <v>Norm</v>
      </c>
      <c r="V297" t="s">
        <v>13</v>
      </c>
      <c r="W297">
        <v>407.75</v>
      </c>
      <c r="X297" t="s">
        <v>14</v>
      </c>
      <c r="Y297">
        <v>110</v>
      </c>
      <c r="Z297" t="str">
        <f>_xlfn.IFNA(_xlfn.IFS(Y297&gt;Dash!$E$46, "Big", Y297&lt;Dash!$E$49, "Small", Y297&gt;Dash!$E$47, "Good"), "Norm")</f>
        <v>Good</v>
      </c>
      <c r="AA297">
        <v>76.5</v>
      </c>
      <c r="AB297" t="str">
        <f>_xlfn.IFNA(_xlfn.IFS(AA297&gt;Dash!$F$46, "Big", AA297&lt;Dash!$F$49, "Small", AA297&gt;Dash!$F$47, "Good"), "Norm")</f>
        <v>Norm</v>
      </c>
      <c r="AC297">
        <v>230.5</v>
      </c>
      <c r="AD297" t="str">
        <f>_xlfn.IFNA(_xlfn.IFS(AC297&gt;Dash!$G$46, "Big", AC297&lt;Dash!$G$49, "Small", AC297&gt;Dash!$G$47, "Good"), "Norm")</f>
        <v>Good</v>
      </c>
      <c r="AE297">
        <v>131</v>
      </c>
      <c r="AF297" t="str">
        <f>_xlfn.IFNA(_xlfn.IFS(AE297&gt;Dash!$H$46, "Big", AE297&lt;Dash!$H$49, "Small", AE297&gt;Dash!$H$47, "Good"), "Norm")</f>
        <v>Norm</v>
      </c>
      <c r="AG297">
        <v>39</v>
      </c>
      <c r="AH297" t="str">
        <f>_xlfn.IFNA(_xlfn.IFS(AG297&gt;Dash!$I$46, "Big", AG297&lt;Dash!$I$49, "Small", AG297&gt;Dash!$I$47, "Good"), "Norm")</f>
        <v>Good</v>
      </c>
    </row>
    <row r="298" spans="1:34" x14ac:dyDescent="0.25">
      <c r="A298" s="1">
        <v>45600</v>
      </c>
      <c r="B298" t="s">
        <v>23</v>
      </c>
      <c r="C298" t="s">
        <v>24</v>
      </c>
      <c r="D298" t="s">
        <v>14</v>
      </c>
      <c r="E298">
        <v>213.75</v>
      </c>
      <c r="F298">
        <v>900</v>
      </c>
      <c r="G298">
        <v>900</v>
      </c>
      <c r="J298" t="s">
        <v>45</v>
      </c>
      <c r="K298" t="s">
        <v>16</v>
      </c>
      <c r="L298" t="s">
        <v>25</v>
      </c>
      <c r="M298" t="s">
        <v>19</v>
      </c>
      <c r="N298">
        <v>7</v>
      </c>
      <c r="R298" t="s">
        <v>13</v>
      </c>
      <c r="S298" t="s">
        <v>28</v>
      </c>
      <c r="T298">
        <v>265.25</v>
      </c>
      <c r="U298" t="str">
        <f>_xlfn.IFNA(_xlfn.IFS(E298&gt;Dash!$D$46, "Big", E298&lt;Dash!$D$49, "Small", E298&gt;Dash!$D$47, "Good"), "Norm")</f>
        <v>Norm</v>
      </c>
      <c r="V298" t="s">
        <v>24</v>
      </c>
      <c r="W298">
        <v>230.5</v>
      </c>
      <c r="X298">
        <v>1</v>
      </c>
      <c r="Y298">
        <v>178</v>
      </c>
      <c r="Z298" t="str">
        <f>_xlfn.IFNA(_xlfn.IFS(Y298&gt;Dash!$E$46, "Big", Y298&lt;Dash!$E$49, "Small", Y298&gt;Dash!$E$47, "Good"), "Norm")</f>
        <v>Big</v>
      </c>
      <c r="AA298">
        <v>143</v>
      </c>
      <c r="AB298" t="str">
        <f>_xlfn.IFNA(_xlfn.IFS(AA298&gt;Dash!$F$46, "Big", AA298&lt;Dash!$F$49, "Small", AA298&gt;Dash!$F$47, "Good"), "Norm")</f>
        <v>Good</v>
      </c>
      <c r="AC298">
        <v>213.75</v>
      </c>
      <c r="AD298" t="str">
        <f>_xlfn.IFNA(_xlfn.IFS(AC298&gt;Dash!$G$46, "Big", AC298&lt;Dash!$G$49, "Small", AC298&gt;Dash!$G$47, "Good"), "Norm")</f>
        <v>Good</v>
      </c>
      <c r="AE298">
        <v>147</v>
      </c>
      <c r="AF298" t="str">
        <f>_xlfn.IFNA(_xlfn.IFS(AE298&gt;Dash!$H$46, "Big", AE298&lt;Dash!$H$49, "Small", AE298&gt;Dash!$H$47, "Good"), "Norm")</f>
        <v>Norm</v>
      </c>
      <c r="AG298">
        <v>43</v>
      </c>
      <c r="AH298" t="str">
        <f>_xlfn.IFNA(_xlfn.IFS(AG298&gt;Dash!$I$46, "Big", AG298&lt;Dash!$I$49, "Small", AG298&gt;Dash!$I$47, "Good"), "Norm")</f>
        <v>Good</v>
      </c>
    </row>
    <row r="299" spans="1:34" x14ac:dyDescent="0.25">
      <c r="A299" s="1">
        <v>45601</v>
      </c>
      <c r="B299" t="s">
        <v>19</v>
      </c>
      <c r="C299" t="s">
        <v>13</v>
      </c>
      <c r="D299" t="s">
        <v>28</v>
      </c>
      <c r="E299">
        <v>265.25</v>
      </c>
      <c r="F299">
        <v>900</v>
      </c>
      <c r="J299" t="s">
        <v>27</v>
      </c>
      <c r="K299" t="s">
        <v>31</v>
      </c>
      <c r="L299" t="s">
        <v>44</v>
      </c>
      <c r="M299" t="s">
        <v>19</v>
      </c>
      <c r="N299">
        <v>7</v>
      </c>
      <c r="R299" t="s">
        <v>13</v>
      </c>
      <c r="S299" t="s">
        <v>28</v>
      </c>
      <c r="T299">
        <v>287</v>
      </c>
      <c r="U299" t="str">
        <f>_xlfn.IFNA(_xlfn.IFS(E299&gt;Dash!$D$46, "Big", E299&lt;Dash!$D$49, "Small", E299&gt;Dash!$D$47, "Good"), "Norm")</f>
        <v>Good</v>
      </c>
      <c r="V299" t="s">
        <v>24</v>
      </c>
      <c r="W299">
        <v>213.75</v>
      </c>
      <c r="X299" t="s">
        <v>14</v>
      </c>
      <c r="Y299">
        <v>90.25</v>
      </c>
      <c r="Z299" t="str">
        <f>_xlfn.IFNA(_xlfn.IFS(Y299&gt;Dash!$E$46, "Big", Y299&lt;Dash!$E$49, "Small", Y299&gt;Dash!$E$47, "Good"), "Norm")</f>
        <v>Good</v>
      </c>
      <c r="AA299">
        <v>69.5</v>
      </c>
      <c r="AB299" t="str">
        <f>_xlfn.IFNA(_xlfn.IFS(AA299&gt;Dash!$F$46, "Big", AA299&lt;Dash!$F$49, "Small", AA299&gt;Dash!$F$47, "Good"), "Norm")</f>
        <v>Norm</v>
      </c>
      <c r="AC299">
        <v>240.25</v>
      </c>
      <c r="AD299" t="str">
        <f>_xlfn.IFNA(_xlfn.IFS(AC299&gt;Dash!$G$46, "Big", AC299&lt;Dash!$G$49, "Small", AC299&gt;Dash!$G$47, "Good"), "Norm")</f>
        <v>Good</v>
      </c>
      <c r="AE299">
        <v>92.25</v>
      </c>
      <c r="AF299" t="str">
        <f>_xlfn.IFNA(_xlfn.IFS(AE299&gt;Dash!$H$46, "Big", AE299&lt;Dash!$H$49, "Small", AE299&gt;Dash!$H$47, "Good"), "Norm")</f>
        <v>Small</v>
      </c>
      <c r="AG299">
        <v>48</v>
      </c>
      <c r="AH299" t="str">
        <f>_xlfn.IFNA(_xlfn.IFS(AG299&gt;Dash!$I$46, "Big", AG299&lt;Dash!$I$49, "Small", AG299&gt;Dash!$I$47, "Good"), "Norm")</f>
        <v>Good</v>
      </c>
    </row>
    <row r="300" spans="1:34" x14ac:dyDescent="0.25">
      <c r="A300" s="1">
        <v>45602</v>
      </c>
      <c r="B300" t="s">
        <v>18</v>
      </c>
      <c r="C300" t="s">
        <v>13</v>
      </c>
      <c r="D300" t="s">
        <v>28</v>
      </c>
      <c r="E300">
        <v>287</v>
      </c>
      <c r="F300">
        <v>1900</v>
      </c>
      <c r="J300" t="s">
        <v>29</v>
      </c>
      <c r="K300" t="s">
        <v>31</v>
      </c>
      <c r="L300" t="s">
        <v>44</v>
      </c>
      <c r="M300" t="s">
        <v>19</v>
      </c>
      <c r="N300">
        <v>7</v>
      </c>
      <c r="R300" t="s">
        <v>13</v>
      </c>
      <c r="S300" t="s">
        <v>28</v>
      </c>
      <c r="T300">
        <v>294.75</v>
      </c>
      <c r="U300" t="str">
        <f>_xlfn.IFNA(_xlfn.IFS(E300&gt;Dash!$D$46, "Big", E300&lt;Dash!$D$49, "Small", E300&gt;Dash!$D$47, "Good"), "Norm")</f>
        <v>Good</v>
      </c>
      <c r="V300" t="s">
        <v>13</v>
      </c>
      <c r="W300">
        <v>265.25</v>
      </c>
      <c r="X300" t="s">
        <v>28</v>
      </c>
      <c r="Y300">
        <v>345.75</v>
      </c>
      <c r="Z300" t="str">
        <f>_xlfn.IFNA(_xlfn.IFS(Y300&gt;Dash!$E$46, "Big", Y300&lt;Dash!$E$49, "Small", Y300&gt;Dash!$E$47, "Good"), "Norm")</f>
        <v>Big</v>
      </c>
      <c r="AA300">
        <v>151.25</v>
      </c>
      <c r="AB300" t="str">
        <f>_xlfn.IFNA(_xlfn.IFS(AA300&gt;Dash!$F$46, "Big", AA300&lt;Dash!$F$49, "Small", AA300&gt;Dash!$F$47, "Good"), "Norm")</f>
        <v>Good</v>
      </c>
      <c r="AC300">
        <v>178</v>
      </c>
      <c r="AD300" t="str">
        <f>_xlfn.IFNA(_xlfn.IFS(AC300&gt;Dash!$G$46, "Big", AC300&lt;Dash!$G$49, "Small", AC300&gt;Dash!$G$47, "Good"), "Norm")</f>
        <v>Norm</v>
      </c>
      <c r="AE300">
        <v>152.75</v>
      </c>
      <c r="AF300" t="str">
        <f>_xlfn.IFNA(_xlfn.IFS(AE300&gt;Dash!$H$46, "Big", AE300&lt;Dash!$H$49, "Small", AE300&gt;Dash!$H$47, "Good"), "Norm")</f>
        <v>Good</v>
      </c>
      <c r="AG300">
        <v>49.75</v>
      </c>
      <c r="AH300" t="str">
        <f>_xlfn.IFNA(_xlfn.IFS(AG300&gt;Dash!$I$46, "Big", AG300&lt;Dash!$I$49, "Small", AG300&gt;Dash!$I$47, "Good"), "Norm")</f>
        <v>Good</v>
      </c>
    </row>
    <row r="301" spans="1:34" x14ac:dyDescent="0.25">
      <c r="A301" s="1">
        <v>45603</v>
      </c>
      <c r="B301" t="s">
        <v>36</v>
      </c>
      <c r="C301" t="s">
        <v>13</v>
      </c>
      <c r="D301" t="s">
        <v>28</v>
      </c>
      <c r="E301">
        <v>294.75</v>
      </c>
      <c r="F301">
        <v>2200</v>
      </c>
      <c r="G301">
        <v>2200</v>
      </c>
      <c r="J301" t="s">
        <v>29</v>
      </c>
      <c r="K301" t="s">
        <v>31</v>
      </c>
      <c r="L301" t="s">
        <v>32</v>
      </c>
      <c r="M301" t="s">
        <v>19</v>
      </c>
      <c r="N301">
        <v>7</v>
      </c>
      <c r="R301" t="s">
        <v>20</v>
      </c>
      <c r="S301" t="s">
        <v>28</v>
      </c>
      <c r="T301">
        <v>108.75</v>
      </c>
      <c r="U301" t="str">
        <f>_xlfn.IFNA(_xlfn.IFS(E301&gt;Dash!$D$46, "Big", E301&lt;Dash!$D$49, "Small", E301&gt;Dash!$D$47, "Good"), "Norm")</f>
        <v>Good</v>
      </c>
      <c r="V301" t="s">
        <v>13</v>
      </c>
      <c r="W301">
        <v>287</v>
      </c>
      <c r="X301" t="s">
        <v>28</v>
      </c>
      <c r="Y301">
        <v>104.75</v>
      </c>
      <c r="Z301" t="str">
        <f>_xlfn.IFNA(_xlfn.IFS(Y301&gt;Dash!$E$46, "Big", Y301&lt;Dash!$E$49, "Small", Y301&gt;Dash!$E$47, "Good"), "Norm")</f>
        <v>Good</v>
      </c>
      <c r="AA301">
        <v>69.25</v>
      </c>
      <c r="AB301" t="str">
        <f>_xlfn.IFNA(_xlfn.IFS(AA301&gt;Dash!$F$46, "Big", AA301&lt;Dash!$F$49, "Small", AA301&gt;Dash!$F$47, "Good"), "Norm")</f>
        <v>Norm</v>
      </c>
      <c r="AC301">
        <v>240.75</v>
      </c>
      <c r="AD301" t="str">
        <f>_xlfn.IFNA(_xlfn.IFS(AC301&gt;Dash!$G$46, "Big", AC301&lt;Dash!$G$49, "Small", AC301&gt;Dash!$G$47, "Good"), "Norm")</f>
        <v>Good</v>
      </c>
      <c r="AE301">
        <v>101.75</v>
      </c>
      <c r="AF301" t="str">
        <f>_xlfn.IFNA(_xlfn.IFS(AE301&gt;Dash!$H$46, "Big", AE301&lt;Dash!$H$49, "Small", AE301&gt;Dash!$H$47, "Good"), "Norm")</f>
        <v>Norm</v>
      </c>
      <c r="AG301">
        <v>42.75</v>
      </c>
      <c r="AH301" t="str">
        <f>_xlfn.IFNA(_xlfn.IFS(AG301&gt;Dash!$I$46, "Big", AG301&lt;Dash!$I$49, "Small", AG301&gt;Dash!$I$47, "Good"), "Norm")</f>
        <v>Good</v>
      </c>
    </row>
    <row r="302" spans="1:34" x14ac:dyDescent="0.25">
      <c r="A302" s="1">
        <v>45604</v>
      </c>
      <c r="B302" t="s">
        <v>26</v>
      </c>
      <c r="C302" t="s">
        <v>20</v>
      </c>
      <c r="D302" t="s">
        <v>28</v>
      </c>
      <c r="E302">
        <v>108.75</v>
      </c>
      <c r="F302" t="s">
        <v>163</v>
      </c>
      <c r="G302" t="s">
        <v>163</v>
      </c>
      <c r="J302" t="s">
        <v>29</v>
      </c>
      <c r="K302" t="s">
        <v>39</v>
      </c>
      <c r="L302" t="s">
        <v>32</v>
      </c>
      <c r="M302" t="s">
        <v>19</v>
      </c>
      <c r="N302">
        <v>7</v>
      </c>
      <c r="R302" t="s">
        <v>33</v>
      </c>
      <c r="S302" t="s">
        <v>48</v>
      </c>
      <c r="T302">
        <v>242.5</v>
      </c>
      <c r="U302" t="str">
        <f>_xlfn.IFNA(_xlfn.IFS(E302&gt;Dash!$D$46, "Big", E302&lt;Dash!$D$49, "Small", E302&gt;Dash!$D$47, "Good"), "Norm")</f>
        <v>Small</v>
      </c>
      <c r="V302" t="s">
        <v>13</v>
      </c>
      <c r="W302">
        <v>294.75</v>
      </c>
      <c r="X302" t="s">
        <v>28</v>
      </c>
      <c r="Y302">
        <v>60.75</v>
      </c>
      <c r="Z302" t="str">
        <f>_xlfn.IFNA(_xlfn.IFS(Y302&gt;Dash!$E$46, "Big", Y302&lt;Dash!$E$49, "Small", Y302&gt;Dash!$E$47, "Good"), "Norm")</f>
        <v>Norm</v>
      </c>
      <c r="AA302">
        <v>128.75</v>
      </c>
      <c r="AB302" t="str">
        <f>_xlfn.IFNA(_xlfn.IFS(AA302&gt;Dash!$F$46, "Big", AA302&lt;Dash!$F$49, "Small", AA302&gt;Dash!$F$47, "Good"), "Norm")</f>
        <v>Good</v>
      </c>
      <c r="AC302">
        <v>80.25</v>
      </c>
      <c r="AD302" t="str">
        <f>_xlfn.IFNA(_xlfn.IFS(AC302&gt;Dash!$G$46, "Big", AC302&lt;Dash!$G$49, "Small", AC302&gt;Dash!$G$47, "Good"), "Norm")</f>
        <v>Small</v>
      </c>
      <c r="AE302">
        <v>68.5</v>
      </c>
      <c r="AF302" t="str">
        <f>_xlfn.IFNA(_xlfn.IFS(AE302&gt;Dash!$H$46, "Big", AE302&lt;Dash!$H$49, "Small", AE302&gt;Dash!$H$47, "Good"), "Norm")</f>
        <v>Small</v>
      </c>
      <c r="AG302">
        <v>19.25</v>
      </c>
      <c r="AH302" t="str">
        <f>_xlfn.IFNA(_xlfn.IFS(AG302&gt;Dash!$I$46, "Big", AG302&lt;Dash!$I$49, "Small", AG302&gt;Dash!$I$47, "Good"), "Norm")</f>
        <v>Small</v>
      </c>
    </row>
    <row r="303" spans="1:34" x14ac:dyDescent="0.25">
      <c r="A303" s="1">
        <v>45607</v>
      </c>
      <c r="B303" t="s">
        <v>23</v>
      </c>
      <c r="C303" t="s">
        <v>33</v>
      </c>
      <c r="D303" t="s">
        <v>48</v>
      </c>
      <c r="E303">
        <v>242.5</v>
      </c>
      <c r="F303">
        <v>1800</v>
      </c>
      <c r="G303">
        <v>900</v>
      </c>
      <c r="H303">
        <v>1300</v>
      </c>
      <c r="I303">
        <v>1300</v>
      </c>
      <c r="J303" t="s">
        <v>29</v>
      </c>
      <c r="K303" t="s">
        <v>35</v>
      </c>
      <c r="L303" t="s">
        <v>17</v>
      </c>
      <c r="M303" t="s">
        <v>18</v>
      </c>
      <c r="N303">
        <v>9</v>
      </c>
      <c r="R303" t="s">
        <v>33</v>
      </c>
      <c r="S303" t="s">
        <v>14</v>
      </c>
      <c r="T303">
        <v>197</v>
      </c>
      <c r="U303" t="str">
        <f>_xlfn.IFNA(_xlfn.IFS(E303&gt;Dash!$D$46, "Big", E303&lt;Dash!$D$49, "Small", E303&gt;Dash!$D$47, "Good"), "Norm")</f>
        <v>Norm</v>
      </c>
      <c r="V303" t="s">
        <v>20</v>
      </c>
      <c r="W303">
        <v>108.75</v>
      </c>
      <c r="X303" t="s">
        <v>28</v>
      </c>
      <c r="Y303">
        <v>61.75</v>
      </c>
      <c r="Z303" t="str">
        <f>_xlfn.IFNA(_xlfn.IFS(Y303&gt;Dash!$E$46, "Big", Y303&lt;Dash!$E$49, "Small", Y303&gt;Dash!$E$47, "Good"), "Norm")</f>
        <v>Norm</v>
      </c>
      <c r="AA303">
        <v>67.75</v>
      </c>
      <c r="AB303" t="str">
        <f>_xlfn.IFNA(_xlfn.IFS(AA303&gt;Dash!$F$46, "Big", AA303&lt;Dash!$F$49, "Small", AA303&gt;Dash!$F$47, "Good"), "Norm")</f>
        <v>Norm</v>
      </c>
      <c r="AC303">
        <v>185.5</v>
      </c>
      <c r="AD303" t="str">
        <f>_xlfn.IFNA(_xlfn.IFS(AC303&gt;Dash!$G$46, "Big", AC303&lt;Dash!$G$49, "Small", AC303&gt;Dash!$G$47, "Good"), "Norm")</f>
        <v>Norm</v>
      </c>
      <c r="AE303">
        <v>125.25</v>
      </c>
      <c r="AF303" t="str">
        <f>_xlfn.IFNA(_xlfn.IFS(AE303&gt;Dash!$H$46, "Big", AE303&lt;Dash!$H$49, "Small", AE303&gt;Dash!$H$47, "Good"), "Norm")</f>
        <v>Norm</v>
      </c>
      <c r="AG303">
        <v>28.5</v>
      </c>
      <c r="AH303" t="str">
        <f>_xlfn.IFNA(_xlfn.IFS(AG303&gt;Dash!$I$46, "Big", AG303&lt;Dash!$I$49, "Small", AG303&gt;Dash!$I$47, "Good"), "Norm")</f>
        <v>Norm</v>
      </c>
    </row>
    <row r="304" spans="1:34" x14ac:dyDescent="0.25">
      <c r="A304" s="1">
        <v>45608</v>
      </c>
      <c r="B304" t="s">
        <v>19</v>
      </c>
      <c r="C304" t="s">
        <v>33</v>
      </c>
      <c r="D304" t="s">
        <v>14</v>
      </c>
      <c r="E304">
        <v>197</v>
      </c>
      <c r="F304">
        <v>1200</v>
      </c>
      <c r="G304">
        <v>1300</v>
      </c>
      <c r="J304" t="s">
        <v>21</v>
      </c>
      <c r="K304" t="s">
        <v>35</v>
      </c>
      <c r="L304" t="s">
        <v>17</v>
      </c>
      <c r="M304" t="s">
        <v>18</v>
      </c>
      <c r="N304">
        <v>9</v>
      </c>
      <c r="R304" t="s">
        <v>33</v>
      </c>
      <c r="S304" t="s">
        <v>43</v>
      </c>
      <c r="T304">
        <v>212</v>
      </c>
      <c r="U304" t="str">
        <f>_xlfn.IFNA(_xlfn.IFS(E304&gt;Dash!$D$46, "Big", E304&lt;Dash!$D$49, "Small", E304&gt;Dash!$D$47, "Good"), "Norm")</f>
        <v>Norm</v>
      </c>
      <c r="V304" t="s">
        <v>33</v>
      </c>
      <c r="W304">
        <v>242.5</v>
      </c>
      <c r="X304" t="s">
        <v>48</v>
      </c>
      <c r="Y304">
        <v>63.5</v>
      </c>
      <c r="Z304" t="str">
        <f>_xlfn.IFNA(_xlfn.IFS(Y304&gt;Dash!$E$46, "Big", Y304&lt;Dash!$E$49, "Small", Y304&gt;Dash!$E$47, "Good"), "Norm")</f>
        <v>Norm</v>
      </c>
      <c r="AA304">
        <v>112.25</v>
      </c>
      <c r="AB304" t="str">
        <f>_xlfn.IFNA(_xlfn.IFS(AA304&gt;Dash!$F$46, "Big", AA304&lt;Dash!$F$49, "Small", AA304&gt;Dash!$F$47, "Good"), "Norm")</f>
        <v>Good</v>
      </c>
      <c r="AC304">
        <v>108</v>
      </c>
      <c r="AD304" t="str">
        <f>_xlfn.IFNA(_xlfn.IFS(AC304&gt;Dash!$G$46, "Big", AC304&lt;Dash!$G$49, "Small", AC304&gt;Dash!$G$47, "Good"), "Norm")</f>
        <v>Small</v>
      </c>
      <c r="AE304">
        <v>155.75</v>
      </c>
      <c r="AF304" t="str">
        <f>_xlfn.IFNA(_xlfn.IFS(AE304&gt;Dash!$H$46, "Big", AE304&lt;Dash!$H$49, "Small", AE304&gt;Dash!$H$47, "Good"), "Norm")</f>
        <v>Good</v>
      </c>
      <c r="AG304">
        <v>23</v>
      </c>
      <c r="AH304" t="str">
        <f>_xlfn.IFNA(_xlfn.IFS(AG304&gt;Dash!$I$46, "Big", AG304&lt;Dash!$I$49, "Small", AG304&gt;Dash!$I$47, "Good"), "Norm")</f>
        <v>Norm</v>
      </c>
    </row>
    <row r="305" spans="1:34" x14ac:dyDescent="0.25">
      <c r="A305" s="1">
        <v>45609</v>
      </c>
      <c r="B305" t="s">
        <v>18</v>
      </c>
      <c r="C305" t="s">
        <v>33</v>
      </c>
      <c r="D305" t="s">
        <v>43</v>
      </c>
      <c r="E305">
        <v>212</v>
      </c>
      <c r="F305">
        <v>1300</v>
      </c>
      <c r="G305">
        <v>1400</v>
      </c>
      <c r="J305" t="s">
        <v>49</v>
      </c>
      <c r="K305" t="s">
        <v>25</v>
      </c>
      <c r="L305" t="s">
        <v>32</v>
      </c>
      <c r="M305" t="s">
        <v>18</v>
      </c>
      <c r="N305">
        <v>9</v>
      </c>
      <c r="R305" t="s">
        <v>20</v>
      </c>
      <c r="S305" t="s">
        <v>48</v>
      </c>
      <c r="T305">
        <v>205.5</v>
      </c>
      <c r="U305" t="str">
        <f>_xlfn.IFNA(_xlfn.IFS(E305&gt;Dash!$D$46, "Big", E305&lt;Dash!$D$49, "Small", E305&gt;Dash!$D$47, "Good"), "Norm")</f>
        <v>Norm</v>
      </c>
      <c r="V305" t="s">
        <v>33</v>
      </c>
      <c r="W305">
        <v>197</v>
      </c>
      <c r="X305" t="s">
        <v>14</v>
      </c>
      <c r="Y305">
        <v>82.5</v>
      </c>
      <c r="Z305" t="str">
        <f>_xlfn.IFNA(_xlfn.IFS(Y305&gt;Dash!$E$46, "Big", Y305&lt;Dash!$E$49, "Small", Y305&gt;Dash!$E$47, "Good"), "Norm")</f>
        <v>Good</v>
      </c>
      <c r="AA305">
        <v>69.25</v>
      </c>
      <c r="AB305" t="str">
        <f>_xlfn.IFNA(_xlfn.IFS(AA305&gt;Dash!$F$46, "Big", AA305&lt;Dash!$F$49, "Small", AA305&gt;Dash!$F$47, "Good"), "Norm")</f>
        <v>Norm</v>
      </c>
      <c r="AC305">
        <v>187</v>
      </c>
      <c r="AD305" t="str">
        <f>_xlfn.IFNA(_xlfn.IFS(AC305&gt;Dash!$G$46, "Big", AC305&lt;Dash!$G$49, "Small", AC305&gt;Dash!$G$47, "Good"), "Norm")</f>
        <v>Norm</v>
      </c>
      <c r="AE305">
        <v>144.75</v>
      </c>
      <c r="AF305" t="str">
        <f>_xlfn.IFNA(_xlfn.IFS(AE305&gt;Dash!$H$46, "Big", AE305&lt;Dash!$H$49, "Small", AE305&gt;Dash!$H$47, "Good"), "Norm")</f>
        <v>Norm</v>
      </c>
      <c r="AG305">
        <v>33.75</v>
      </c>
      <c r="AH305" t="str">
        <f>_xlfn.IFNA(_xlfn.IFS(AG305&gt;Dash!$I$46, "Big", AG305&lt;Dash!$I$49, "Small", AG305&gt;Dash!$I$47, "Good"), "Norm")</f>
        <v>Norm</v>
      </c>
    </row>
    <row r="306" spans="1:34" x14ac:dyDescent="0.25">
      <c r="A306" s="1">
        <v>45610</v>
      </c>
      <c r="B306" t="s">
        <v>36</v>
      </c>
      <c r="C306" t="s">
        <v>20</v>
      </c>
      <c r="D306" t="s">
        <v>48</v>
      </c>
      <c r="E306">
        <v>205.5</v>
      </c>
      <c r="F306">
        <v>1800</v>
      </c>
      <c r="G306">
        <v>1800</v>
      </c>
      <c r="H306">
        <v>1000</v>
      </c>
      <c r="I306">
        <v>1000</v>
      </c>
      <c r="J306" t="s">
        <v>45</v>
      </c>
      <c r="K306" t="s">
        <v>22</v>
      </c>
      <c r="L306" t="s">
        <v>42</v>
      </c>
      <c r="M306" t="s">
        <v>18</v>
      </c>
      <c r="N306">
        <v>9</v>
      </c>
      <c r="R306" t="s">
        <v>13</v>
      </c>
      <c r="S306" t="s">
        <v>14</v>
      </c>
      <c r="T306">
        <v>458.75</v>
      </c>
      <c r="U306" t="str">
        <f>_xlfn.IFNA(_xlfn.IFS(E306&gt;Dash!$D$46, "Big", E306&lt;Dash!$D$49, "Small", E306&gt;Dash!$D$47, "Good"), "Norm")</f>
        <v>Norm</v>
      </c>
      <c r="V306" t="s">
        <v>33</v>
      </c>
      <c r="W306">
        <v>212</v>
      </c>
      <c r="X306" t="s">
        <v>43</v>
      </c>
      <c r="Y306">
        <v>75.75</v>
      </c>
      <c r="Z306" t="str">
        <f>_xlfn.IFNA(_xlfn.IFS(Y306&gt;Dash!$E$46, "Big", Y306&lt;Dash!$E$49, "Small", Y306&gt;Dash!$E$47, "Good"), "Norm")</f>
        <v>Norm</v>
      </c>
      <c r="AA306">
        <v>100</v>
      </c>
      <c r="AB306" t="str">
        <f>_xlfn.IFNA(_xlfn.IFS(AA306&gt;Dash!$F$46, "Big", AA306&lt;Dash!$F$49, "Small", AA306&gt;Dash!$F$47, "Good"), "Norm")</f>
        <v>Good</v>
      </c>
      <c r="AC306">
        <v>136.25</v>
      </c>
      <c r="AD306" t="str">
        <f>_xlfn.IFNA(_xlfn.IFS(AC306&gt;Dash!$G$46, "Big", AC306&lt;Dash!$G$49, "Small", AC306&gt;Dash!$G$47, "Good"), "Norm")</f>
        <v>Norm</v>
      </c>
      <c r="AE306">
        <v>149.5</v>
      </c>
      <c r="AF306" t="str">
        <f>_xlfn.IFNA(_xlfn.IFS(AE306&gt;Dash!$H$46, "Big", AE306&lt;Dash!$H$49, "Small", AE306&gt;Dash!$H$47, "Good"), "Norm")</f>
        <v>Norm</v>
      </c>
      <c r="AG306">
        <v>62.5</v>
      </c>
      <c r="AH306" t="str">
        <f>_xlfn.IFNA(_xlfn.IFS(AG306&gt;Dash!$I$46, "Big", AG306&lt;Dash!$I$49, "Small", AG306&gt;Dash!$I$47, "Good"), "Norm")</f>
        <v>Good</v>
      </c>
    </row>
    <row r="307" spans="1:34" x14ac:dyDescent="0.25">
      <c r="A307" s="1">
        <v>45611</v>
      </c>
      <c r="B307" t="s">
        <v>26</v>
      </c>
      <c r="C307" t="s">
        <v>13</v>
      </c>
      <c r="D307" t="s">
        <v>14</v>
      </c>
      <c r="E307">
        <v>458.75</v>
      </c>
      <c r="F307">
        <v>1800</v>
      </c>
      <c r="J307" t="s">
        <v>37</v>
      </c>
      <c r="K307" t="s">
        <v>16</v>
      </c>
      <c r="L307" t="s">
        <v>17</v>
      </c>
      <c r="M307" t="s">
        <v>18</v>
      </c>
      <c r="N307">
        <v>9</v>
      </c>
      <c r="O307" t="s">
        <v>61</v>
      </c>
      <c r="R307" t="s">
        <v>24</v>
      </c>
      <c r="S307">
        <v>1</v>
      </c>
      <c r="T307">
        <v>242.75</v>
      </c>
      <c r="U307" t="str">
        <f>_xlfn.IFNA(_xlfn.IFS(E307&gt;Dash!$D$46, "Big", E307&lt;Dash!$D$49, "Small", E307&gt;Dash!$D$47, "Good"), "Norm")</f>
        <v>Big</v>
      </c>
      <c r="V307" t="s">
        <v>20</v>
      </c>
      <c r="W307">
        <v>205.5</v>
      </c>
      <c r="X307" t="s">
        <v>48</v>
      </c>
      <c r="Y307">
        <v>150.5</v>
      </c>
      <c r="Z307" t="str">
        <f>_xlfn.IFNA(_xlfn.IFS(Y307&gt;Dash!$E$46, "Big", Y307&lt;Dash!$E$49, "Small", Y307&gt;Dash!$E$47, "Good"), "Norm")</f>
        <v>Big</v>
      </c>
      <c r="AA307">
        <v>81</v>
      </c>
      <c r="AB307" t="str">
        <f>_xlfn.IFNA(_xlfn.IFS(AA307&gt;Dash!$F$46, "Big", AA307&lt;Dash!$F$49, "Small", AA307&gt;Dash!$F$47, "Good"), "Norm")</f>
        <v>Norm</v>
      </c>
      <c r="AC307">
        <v>383</v>
      </c>
      <c r="AD307" t="str">
        <f>_xlfn.IFNA(_xlfn.IFS(AC307&gt;Dash!$G$46, "Big", AC307&lt;Dash!$G$49, "Small", AC307&gt;Dash!$G$47, "Good"), "Norm")</f>
        <v>Big</v>
      </c>
      <c r="AE307">
        <v>108.25</v>
      </c>
      <c r="AF307" t="str">
        <f>_xlfn.IFNA(_xlfn.IFS(AE307&gt;Dash!$H$46, "Big", AE307&lt;Dash!$H$49, "Small", AE307&gt;Dash!$H$47, "Good"), "Norm")</f>
        <v>Norm</v>
      </c>
      <c r="AG307">
        <v>32</v>
      </c>
      <c r="AH307" t="str">
        <f>_xlfn.IFNA(_xlfn.IFS(AG307&gt;Dash!$I$46, "Big", AG307&lt;Dash!$I$49, "Small", AG307&gt;Dash!$I$47, "Good"), "Norm")</f>
        <v>Norm</v>
      </c>
    </row>
    <row r="308" spans="1:34" x14ac:dyDescent="0.25">
      <c r="A308" s="1">
        <v>45614</v>
      </c>
      <c r="B308" t="s">
        <v>23</v>
      </c>
      <c r="C308" t="s">
        <v>24</v>
      </c>
      <c r="D308">
        <v>1</v>
      </c>
      <c r="E308">
        <v>242.75</v>
      </c>
      <c r="J308" t="s">
        <v>34</v>
      </c>
      <c r="K308" t="s">
        <v>31</v>
      </c>
      <c r="L308" t="s">
        <v>35</v>
      </c>
      <c r="M308" t="s">
        <v>36</v>
      </c>
      <c r="N308">
        <v>3</v>
      </c>
      <c r="R308" t="s">
        <v>33</v>
      </c>
      <c r="S308" t="s">
        <v>38</v>
      </c>
      <c r="T308">
        <v>410</v>
      </c>
      <c r="U308" t="str">
        <f>_xlfn.IFNA(_xlfn.IFS(E308&gt;Dash!$D$46, "Big", E308&lt;Dash!$D$49, "Small", E308&gt;Dash!$D$47, "Good"), "Norm")</f>
        <v>Norm</v>
      </c>
      <c r="V308" t="s">
        <v>13</v>
      </c>
      <c r="W308">
        <v>458.75</v>
      </c>
      <c r="X308" t="s">
        <v>14</v>
      </c>
      <c r="Y308">
        <v>181</v>
      </c>
      <c r="Z308" t="str">
        <f>_xlfn.IFNA(_xlfn.IFS(Y308&gt;Dash!$E$46, "Big", Y308&lt;Dash!$E$49, "Small", Y308&gt;Dash!$E$47, "Good"), "Norm")</f>
        <v>Big</v>
      </c>
      <c r="AA308">
        <v>104.5</v>
      </c>
      <c r="AB308" t="str">
        <f>_xlfn.IFNA(_xlfn.IFS(AA308&gt;Dash!$F$46, "Big", AA308&lt;Dash!$F$49, "Small", AA308&gt;Dash!$F$47, "Good"), "Norm")</f>
        <v>Good</v>
      </c>
      <c r="AC308">
        <v>242.75</v>
      </c>
      <c r="AD308" t="str">
        <f>_xlfn.IFNA(_xlfn.IFS(AC308&gt;Dash!$G$46, "Big", AC308&lt;Dash!$G$49, "Small", AC308&gt;Dash!$G$47, "Good"), "Norm")</f>
        <v>Good</v>
      </c>
      <c r="AE308">
        <v>81.75</v>
      </c>
      <c r="AF308" t="str">
        <f>_xlfn.IFNA(_xlfn.IFS(AE308&gt;Dash!$H$46, "Big", AE308&lt;Dash!$H$49, "Small", AE308&gt;Dash!$H$47, "Good"), "Norm")</f>
        <v>Small</v>
      </c>
      <c r="AG308">
        <v>27.25</v>
      </c>
      <c r="AH308" t="str">
        <f>_xlfn.IFNA(_xlfn.IFS(AG308&gt;Dash!$I$46, "Big", AG308&lt;Dash!$I$49, "Small", AG308&gt;Dash!$I$47, "Good"), "Norm")</f>
        <v>Norm</v>
      </c>
    </row>
    <row r="309" spans="1:34" x14ac:dyDescent="0.25">
      <c r="A309" s="1">
        <v>45615</v>
      </c>
      <c r="B309" t="s">
        <v>19</v>
      </c>
      <c r="C309" t="s">
        <v>33</v>
      </c>
      <c r="D309" t="s">
        <v>38</v>
      </c>
      <c r="E309">
        <v>410</v>
      </c>
      <c r="F309">
        <v>800</v>
      </c>
      <c r="G309">
        <v>900</v>
      </c>
      <c r="H309">
        <v>1300</v>
      </c>
      <c r="J309" t="s">
        <v>45</v>
      </c>
      <c r="K309" t="s">
        <v>25</v>
      </c>
      <c r="L309" t="s">
        <v>32</v>
      </c>
      <c r="M309" t="s">
        <v>36</v>
      </c>
      <c r="N309">
        <v>3</v>
      </c>
      <c r="R309" t="s">
        <v>41</v>
      </c>
      <c r="S309" t="s">
        <v>43</v>
      </c>
      <c r="T309">
        <v>353</v>
      </c>
      <c r="U309" t="str">
        <f>_xlfn.IFNA(_xlfn.IFS(E309&gt;Dash!$D$46, "Big", E309&lt;Dash!$D$49, "Small", E309&gt;Dash!$D$47, "Good"), "Norm")</f>
        <v>Big</v>
      </c>
      <c r="V309" t="s">
        <v>24</v>
      </c>
      <c r="W309">
        <v>242.75</v>
      </c>
      <c r="X309">
        <v>1</v>
      </c>
      <c r="Y309">
        <v>93.5</v>
      </c>
      <c r="Z309" t="str">
        <f>_xlfn.IFNA(_xlfn.IFS(Y309&gt;Dash!$E$46, "Big", Y309&lt;Dash!$E$49, "Small", Y309&gt;Dash!$E$47, "Good"), "Norm")</f>
        <v>Good</v>
      </c>
      <c r="AA309">
        <v>195.5</v>
      </c>
      <c r="AB309" t="str">
        <f>_xlfn.IFNA(_xlfn.IFS(AA309&gt;Dash!$F$46, "Big", AA309&lt;Dash!$F$49, "Small", AA309&gt;Dash!$F$47, "Good"), "Norm")</f>
        <v>Big</v>
      </c>
      <c r="AC309">
        <v>318.25</v>
      </c>
      <c r="AD309" t="str">
        <f>_xlfn.IFNA(_xlfn.IFS(AC309&gt;Dash!$G$46, "Big", AC309&lt;Dash!$G$49, "Small", AC309&gt;Dash!$G$47, "Good"), "Norm")</f>
        <v>Big</v>
      </c>
      <c r="AE309">
        <v>149.25</v>
      </c>
      <c r="AF309" t="str">
        <f>_xlfn.IFNA(_xlfn.IFS(AE309&gt;Dash!$H$46, "Big", AE309&lt;Dash!$H$49, "Small", AE309&gt;Dash!$H$47, "Good"), "Norm")</f>
        <v>Norm</v>
      </c>
      <c r="AG309">
        <v>37.25</v>
      </c>
      <c r="AH309" t="str">
        <f>_xlfn.IFNA(_xlfn.IFS(AG309&gt;Dash!$I$46, "Big", AG309&lt;Dash!$I$49, "Small", AG309&gt;Dash!$I$47, "Good"), "Norm")</f>
        <v>Good</v>
      </c>
    </row>
    <row r="310" spans="1:34" x14ac:dyDescent="0.25">
      <c r="A310" s="1">
        <v>45616</v>
      </c>
      <c r="B310" t="s">
        <v>18</v>
      </c>
      <c r="C310" t="s">
        <v>41</v>
      </c>
      <c r="D310" t="s">
        <v>43</v>
      </c>
      <c r="E310">
        <v>353</v>
      </c>
      <c r="F310">
        <v>1900</v>
      </c>
      <c r="G310">
        <v>2000</v>
      </c>
      <c r="J310" t="s">
        <v>29</v>
      </c>
      <c r="K310" t="s">
        <v>22</v>
      </c>
      <c r="L310" t="s">
        <v>25</v>
      </c>
      <c r="M310" t="s">
        <v>36</v>
      </c>
      <c r="N310">
        <v>3</v>
      </c>
      <c r="O310" t="s">
        <v>66</v>
      </c>
      <c r="R310" t="s">
        <v>33</v>
      </c>
      <c r="S310" t="s">
        <v>28</v>
      </c>
      <c r="T310">
        <v>391.5</v>
      </c>
      <c r="U310" t="str">
        <f>_xlfn.IFNA(_xlfn.IFS(E310&gt;Dash!$D$46, "Big", E310&lt;Dash!$D$49, "Small", E310&gt;Dash!$D$47, "Good"), "Norm")</f>
        <v>Good</v>
      </c>
      <c r="V310" t="s">
        <v>33</v>
      </c>
      <c r="W310">
        <v>410</v>
      </c>
      <c r="X310" t="s">
        <v>38</v>
      </c>
      <c r="Y310">
        <v>90</v>
      </c>
      <c r="Z310" t="str">
        <f>_xlfn.IFNA(_xlfn.IFS(Y310&gt;Dash!$E$46, "Big", Y310&lt;Dash!$E$49, "Small", Y310&gt;Dash!$E$47, "Good"), "Norm")</f>
        <v>Good</v>
      </c>
      <c r="AA310">
        <v>90.25</v>
      </c>
      <c r="AB310" t="str">
        <f>_xlfn.IFNA(_xlfn.IFS(AA310&gt;Dash!$F$46, "Big", AA310&lt;Dash!$F$49, "Small", AA310&gt;Dash!$F$47, "Good"), "Norm")</f>
        <v>Norm</v>
      </c>
      <c r="AC310">
        <v>353</v>
      </c>
      <c r="AD310" t="str">
        <f>_xlfn.IFNA(_xlfn.IFS(AC310&gt;Dash!$G$46, "Big", AC310&lt;Dash!$G$49, "Small", AC310&gt;Dash!$G$47, "Good"), "Norm")</f>
        <v>Big</v>
      </c>
      <c r="AE310">
        <v>208</v>
      </c>
      <c r="AF310" t="str">
        <f>_xlfn.IFNA(_xlfn.IFS(AE310&gt;Dash!$H$46, "Big", AE310&lt;Dash!$H$49, "Small", AE310&gt;Dash!$H$47, "Good"), "Norm")</f>
        <v>Good</v>
      </c>
      <c r="AG310">
        <v>189.75</v>
      </c>
      <c r="AH310" t="str">
        <f>_xlfn.IFNA(_xlfn.IFS(AG310&gt;Dash!$I$46, "Big", AG310&lt;Dash!$I$49, "Small", AG310&gt;Dash!$I$47, "Good"), "Norm")</f>
        <v>Big</v>
      </c>
    </row>
    <row r="311" spans="1:34" x14ac:dyDescent="0.25">
      <c r="A311" s="1">
        <v>45617</v>
      </c>
      <c r="B311" t="s">
        <v>36</v>
      </c>
      <c r="C311" t="s">
        <v>33</v>
      </c>
      <c r="D311" t="s">
        <v>28</v>
      </c>
      <c r="E311">
        <v>391.5</v>
      </c>
      <c r="F311">
        <v>800</v>
      </c>
      <c r="G311">
        <v>900</v>
      </c>
      <c r="J311" t="s">
        <v>27</v>
      </c>
      <c r="K311" t="s">
        <v>35</v>
      </c>
      <c r="L311" t="s">
        <v>25</v>
      </c>
      <c r="M311" t="s">
        <v>36</v>
      </c>
      <c r="N311">
        <v>3</v>
      </c>
      <c r="R311" t="s">
        <v>20</v>
      </c>
      <c r="S311">
        <v>1</v>
      </c>
      <c r="T311">
        <v>157.75</v>
      </c>
      <c r="U311" t="str">
        <f>_xlfn.IFNA(_xlfn.IFS(E311&gt;Dash!$D$46, "Big", E311&lt;Dash!$D$49, "Small", E311&gt;Dash!$D$47, "Good"), "Norm")</f>
        <v>Good</v>
      </c>
      <c r="V311" t="s">
        <v>41</v>
      </c>
      <c r="W311">
        <v>353</v>
      </c>
      <c r="X311" t="s">
        <v>43</v>
      </c>
      <c r="Y311">
        <v>142</v>
      </c>
      <c r="Z311" t="str">
        <f>_xlfn.IFNA(_xlfn.IFS(Y311&gt;Dash!$E$46, "Big", Y311&lt;Dash!$E$49, "Small", Y311&gt;Dash!$E$47, "Good"), "Norm")</f>
        <v>Big</v>
      </c>
      <c r="AA311">
        <v>213.5</v>
      </c>
      <c r="AB311" t="str">
        <f>_xlfn.IFNA(_xlfn.IFS(AA311&gt;Dash!$F$46, "Big", AA311&lt;Dash!$F$49, "Small", AA311&gt;Dash!$F$47, "Good"), "Norm")</f>
        <v>Big</v>
      </c>
      <c r="AC311">
        <v>391.5</v>
      </c>
      <c r="AD311" t="str">
        <f>_xlfn.IFNA(_xlfn.IFS(AC311&gt;Dash!$G$46, "Big", AC311&lt;Dash!$G$49, "Small", AC311&gt;Dash!$G$47, "Good"), "Norm")</f>
        <v>Big</v>
      </c>
      <c r="AE311">
        <v>181.25</v>
      </c>
      <c r="AF311" t="str">
        <f>_xlfn.IFNA(_xlfn.IFS(AE311&gt;Dash!$H$46, "Big", AE311&lt;Dash!$H$49, "Small", AE311&gt;Dash!$H$47, "Good"), "Norm")</f>
        <v>Good</v>
      </c>
      <c r="AG311">
        <v>40.5</v>
      </c>
      <c r="AH311" t="str">
        <f>_xlfn.IFNA(_xlfn.IFS(AG311&gt;Dash!$I$46, "Big", AG311&lt;Dash!$I$49, "Small", AG311&gt;Dash!$I$47, "Good"), "Norm")</f>
        <v>Good</v>
      </c>
    </row>
    <row r="312" spans="1:34" x14ac:dyDescent="0.25">
      <c r="A312" s="1">
        <v>45618</v>
      </c>
      <c r="B312" t="s">
        <v>26</v>
      </c>
      <c r="C312" t="s">
        <v>20</v>
      </c>
      <c r="D312">
        <v>1</v>
      </c>
      <c r="E312">
        <v>157.75</v>
      </c>
      <c r="J312" t="s">
        <v>34</v>
      </c>
      <c r="K312" t="s">
        <v>39</v>
      </c>
      <c r="L312" t="s">
        <v>32</v>
      </c>
      <c r="M312" t="s">
        <v>36</v>
      </c>
      <c r="N312">
        <v>3</v>
      </c>
      <c r="R312" t="s">
        <v>33</v>
      </c>
      <c r="S312" t="s">
        <v>43</v>
      </c>
      <c r="T312">
        <v>300.75</v>
      </c>
      <c r="U312" t="str">
        <f>_xlfn.IFNA(_xlfn.IFS(E312&gt;Dash!$D$46, "Big", E312&lt;Dash!$D$49, "Small", E312&gt;Dash!$D$47, "Good"), "Norm")</f>
        <v>Norm</v>
      </c>
      <c r="V312" t="s">
        <v>33</v>
      </c>
      <c r="W312">
        <v>391.5</v>
      </c>
      <c r="X312" t="s">
        <v>28</v>
      </c>
      <c r="Y312">
        <v>86</v>
      </c>
      <c r="Z312" t="str">
        <f>_xlfn.IFNA(_xlfn.IFS(Y312&gt;Dash!$E$46, "Big", Y312&lt;Dash!$E$49, "Small", Y312&gt;Dash!$E$47, "Good"), "Norm")</f>
        <v>Good</v>
      </c>
      <c r="AA312">
        <v>137.75</v>
      </c>
      <c r="AB312" t="str">
        <f>_xlfn.IFNA(_xlfn.IFS(AA312&gt;Dash!$F$46, "Big", AA312&lt;Dash!$F$49, "Small", AA312&gt;Dash!$F$47, "Good"), "Norm")</f>
        <v>Good</v>
      </c>
      <c r="AC312">
        <v>150.75</v>
      </c>
      <c r="AD312" t="str">
        <f>_xlfn.IFNA(_xlfn.IFS(AC312&gt;Dash!$G$46, "Big", AC312&lt;Dash!$G$49, "Small", AC312&gt;Dash!$G$47, "Good"), "Norm")</f>
        <v>Norm</v>
      </c>
      <c r="AE312">
        <v>84.5</v>
      </c>
      <c r="AF312" t="str">
        <f>_xlfn.IFNA(_xlfn.IFS(AE312&gt;Dash!$H$46, "Big", AE312&lt;Dash!$H$49, "Small", AE312&gt;Dash!$H$47, "Good"), "Norm")</f>
        <v>Small</v>
      </c>
      <c r="AG312">
        <v>39.75</v>
      </c>
      <c r="AH312" t="str">
        <f>_xlfn.IFNA(_xlfn.IFS(AG312&gt;Dash!$I$46, "Big", AG312&lt;Dash!$I$49, "Small", AG312&gt;Dash!$I$47, "Good"), "Norm")</f>
        <v>Good</v>
      </c>
    </row>
    <row r="313" spans="1:34" x14ac:dyDescent="0.25">
      <c r="A313" s="1">
        <v>45621</v>
      </c>
      <c r="B313" t="s">
        <v>23</v>
      </c>
      <c r="C313" t="s">
        <v>33</v>
      </c>
      <c r="D313" t="s">
        <v>43</v>
      </c>
      <c r="E313">
        <v>300.75</v>
      </c>
      <c r="F313">
        <v>1800</v>
      </c>
      <c r="G313">
        <v>1000</v>
      </c>
      <c r="J313" t="s">
        <v>29</v>
      </c>
      <c r="K313" t="s">
        <v>35</v>
      </c>
      <c r="L313" t="s">
        <v>17</v>
      </c>
      <c r="M313" t="s">
        <v>19</v>
      </c>
      <c r="N313">
        <v>5</v>
      </c>
      <c r="R313" t="s">
        <v>24</v>
      </c>
      <c r="S313" t="s">
        <v>46</v>
      </c>
      <c r="T313">
        <v>121</v>
      </c>
      <c r="U313" t="str">
        <f>_xlfn.IFNA(_xlfn.IFS(E313&gt;Dash!$D$46, "Big", E313&lt;Dash!$D$49, "Small", E313&gt;Dash!$D$47, "Good"), "Norm")</f>
        <v>Good</v>
      </c>
      <c r="V313" t="s">
        <v>20</v>
      </c>
      <c r="W313">
        <v>157.75</v>
      </c>
      <c r="X313">
        <v>1</v>
      </c>
      <c r="Y313">
        <v>43.5</v>
      </c>
      <c r="Z313" t="str">
        <f>_xlfn.IFNA(_xlfn.IFS(Y313&gt;Dash!$E$46, "Big", Y313&lt;Dash!$E$49, "Small", Y313&gt;Dash!$E$47, "Good"), "Norm")</f>
        <v>Norm</v>
      </c>
      <c r="AA313">
        <v>49.25</v>
      </c>
      <c r="AB313" t="str">
        <f>_xlfn.IFNA(_xlfn.IFS(AA313&gt;Dash!$F$46, "Big", AA313&lt;Dash!$F$49, "Small", AA313&gt;Dash!$F$47, "Good"), "Norm")</f>
        <v>Small</v>
      </c>
      <c r="AC313">
        <v>211.75</v>
      </c>
      <c r="AD313" t="str">
        <f>_xlfn.IFNA(_xlfn.IFS(AC313&gt;Dash!$G$46, "Big", AC313&lt;Dash!$G$49, "Small", AC313&gt;Dash!$G$47, "Good"), "Norm")</f>
        <v>Good</v>
      </c>
      <c r="AE313">
        <v>130</v>
      </c>
      <c r="AF313" t="str">
        <f>_xlfn.IFNA(_xlfn.IFS(AE313&gt;Dash!$H$46, "Big", AE313&lt;Dash!$H$49, "Small", AE313&gt;Dash!$H$47, "Good"), "Norm")</f>
        <v>Norm</v>
      </c>
      <c r="AG313">
        <v>55.25</v>
      </c>
      <c r="AH313" t="str">
        <f>_xlfn.IFNA(_xlfn.IFS(AG313&gt;Dash!$I$46, "Big", AG313&lt;Dash!$I$49, "Small", AG313&gt;Dash!$I$47, "Good"), "Norm")</f>
        <v>Good</v>
      </c>
    </row>
    <row r="314" spans="1:34" x14ac:dyDescent="0.25">
      <c r="A314" s="1">
        <v>45622</v>
      </c>
      <c r="B314" t="s">
        <v>19</v>
      </c>
      <c r="C314" t="s">
        <v>24</v>
      </c>
      <c r="D314" t="s">
        <v>46</v>
      </c>
      <c r="E314">
        <v>121</v>
      </c>
      <c r="F314">
        <v>2000</v>
      </c>
      <c r="G314">
        <v>2000</v>
      </c>
      <c r="J314" t="s">
        <v>37</v>
      </c>
      <c r="K314" t="s">
        <v>31</v>
      </c>
      <c r="L314" t="s">
        <v>35</v>
      </c>
      <c r="M314" t="s">
        <v>19</v>
      </c>
      <c r="N314">
        <v>5</v>
      </c>
      <c r="R314" t="s">
        <v>13</v>
      </c>
      <c r="S314" t="s">
        <v>14</v>
      </c>
      <c r="T314">
        <v>289.75</v>
      </c>
      <c r="U314" t="str">
        <f>_xlfn.IFNA(_xlfn.IFS(E314&gt;Dash!$D$46, "Big", E314&lt;Dash!$D$49, "Small", E314&gt;Dash!$D$47, "Good"), "Norm")</f>
        <v>Small</v>
      </c>
      <c r="V314" t="s">
        <v>33</v>
      </c>
      <c r="W314">
        <v>300.75</v>
      </c>
      <c r="X314" t="s">
        <v>43</v>
      </c>
      <c r="Y314">
        <v>178.5</v>
      </c>
      <c r="Z314" t="str">
        <f>_xlfn.IFNA(_xlfn.IFS(Y314&gt;Dash!$E$46, "Big", Y314&lt;Dash!$E$49, "Small", Y314&gt;Dash!$E$47, "Good"), "Norm")</f>
        <v>Big</v>
      </c>
      <c r="AA314">
        <v>103</v>
      </c>
      <c r="AB314" t="str">
        <f>_xlfn.IFNA(_xlfn.IFS(AA314&gt;Dash!$F$46, "Big", AA314&lt;Dash!$F$49, "Small", AA314&gt;Dash!$F$47, "Good"), "Norm")</f>
        <v>Good</v>
      </c>
      <c r="AC314">
        <v>105.25</v>
      </c>
      <c r="AD314" t="str">
        <f>_xlfn.IFNA(_xlfn.IFS(AC314&gt;Dash!$G$46, "Big", AC314&lt;Dash!$G$49, "Small", AC314&gt;Dash!$G$47, "Good"), "Norm")</f>
        <v>Small</v>
      </c>
      <c r="AE314">
        <v>105</v>
      </c>
      <c r="AF314" t="str">
        <f>_xlfn.IFNA(_xlfn.IFS(AE314&gt;Dash!$H$46, "Big", AE314&lt;Dash!$H$49, "Small", AE314&gt;Dash!$H$47, "Good"), "Norm")</f>
        <v>Norm</v>
      </c>
      <c r="AG314">
        <v>20</v>
      </c>
      <c r="AH314" t="str">
        <f>_xlfn.IFNA(_xlfn.IFS(AG314&gt;Dash!$I$46, "Big", AG314&lt;Dash!$I$49, "Small", AG314&gt;Dash!$I$47, "Good"), "Norm")</f>
        <v>Small</v>
      </c>
    </row>
    <row r="315" spans="1:34" x14ac:dyDescent="0.25">
      <c r="A315" s="1">
        <v>45623</v>
      </c>
      <c r="B315" t="s">
        <v>18</v>
      </c>
      <c r="C315" t="s">
        <v>13</v>
      </c>
      <c r="D315" t="s">
        <v>14</v>
      </c>
      <c r="E315">
        <v>289.75</v>
      </c>
      <c r="F315">
        <v>1000</v>
      </c>
      <c r="G315">
        <v>1300</v>
      </c>
      <c r="J315" t="s">
        <v>45</v>
      </c>
      <c r="K315" t="s">
        <v>16</v>
      </c>
      <c r="L315" t="s">
        <v>17</v>
      </c>
      <c r="M315" t="s">
        <v>19</v>
      </c>
      <c r="N315">
        <v>5</v>
      </c>
      <c r="R315" t="s">
        <v>33</v>
      </c>
      <c r="S315" t="s">
        <v>28</v>
      </c>
      <c r="T315">
        <v>212</v>
      </c>
      <c r="U315" t="str">
        <f>_xlfn.IFNA(_xlfn.IFS(E315&gt;Dash!$D$46, "Big", E315&lt;Dash!$D$49, "Small", E315&gt;Dash!$D$47, "Good"), "Norm")</f>
        <v>Good</v>
      </c>
      <c r="V315" t="s">
        <v>24</v>
      </c>
      <c r="W315">
        <v>121</v>
      </c>
      <c r="X315" t="s">
        <v>46</v>
      </c>
      <c r="Y315">
        <v>66.75</v>
      </c>
      <c r="Z315" t="str">
        <f>_xlfn.IFNA(_xlfn.IFS(Y315&gt;Dash!$E$46, "Big", Y315&lt;Dash!$E$49, "Small", Y315&gt;Dash!$E$47, "Good"), "Norm")</f>
        <v>Norm</v>
      </c>
      <c r="AA315">
        <v>85.75</v>
      </c>
      <c r="AB315" t="str">
        <f>_xlfn.IFNA(_xlfn.IFS(AA315&gt;Dash!$F$46, "Big", AA315&lt;Dash!$F$49, "Small", AA315&gt;Dash!$F$47, "Good"), "Norm")</f>
        <v>Norm</v>
      </c>
      <c r="AC315">
        <v>276</v>
      </c>
      <c r="AD315" t="str">
        <f>_xlfn.IFNA(_xlfn.IFS(AC315&gt;Dash!$G$46, "Big", AC315&lt;Dash!$G$49, "Small", AC315&gt;Dash!$G$47, "Good"), "Norm")</f>
        <v>Good</v>
      </c>
      <c r="AE315">
        <v>148.75</v>
      </c>
      <c r="AF315" t="str">
        <f>_xlfn.IFNA(_xlfn.IFS(AE315&gt;Dash!$H$46, "Big", AE315&lt;Dash!$H$49, "Small", AE315&gt;Dash!$H$47, "Good"), "Norm")</f>
        <v>Norm</v>
      </c>
      <c r="AG315">
        <v>28.75</v>
      </c>
      <c r="AH315" t="str">
        <f>_xlfn.IFNA(_xlfn.IFS(AG315&gt;Dash!$I$46, "Big", AG315&lt;Dash!$I$49, "Small", AG315&gt;Dash!$I$47, "Good"), "Norm")</f>
        <v>Norm</v>
      </c>
    </row>
    <row r="316" spans="1:34" x14ac:dyDescent="0.25">
      <c r="A316" s="1">
        <v>45625</v>
      </c>
      <c r="B316" t="s">
        <v>26</v>
      </c>
      <c r="C316" t="s">
        <v>33</v>
      </c>
      <c r="D316" t="s">
        <v>28</v>
      </c>
      <c r="E316">
        <v>212</v>
      </c>
      <c r="F316">
        <v>1200</v>
      </c>
      <c r="G316">
        <v>1200</v>
      </c>
      <c r="J316" t="s">
        <v>34</v>
      </c>
      <c r="K316" t="s">
        <v>25</v>
      </c>
      <c r="L316" t="s">
        <v>32</v>
      </c>
      <c r="M316" t="s">
        <v>19</v>
      </c>
      <c r="N316">
        <v>5</v>
      </c>
      <c r="R316" t="s">
        <v>13</v>
      </c>
      <c r="S316" t="s">
        <v>28</v>
      </c>
      <c r="T316">
        <v>260.75</v>
      </c>
      <c r="U316" t="str">
        <f>_xlfn.IFNA(_xlfn.IFS(E316&gt;Dash!$D$46, "Big", E316&lt;Dash!$D$49, "Small", E316&gt;Dash!$D$47, "Good"), "Norm")</f>
        <v>Norm</v>
      </c>
      <c r="V316" t="s">
        <v>13</v>
      </c>
      <c r="W316">
        <v>289.75</v>
      </c>
      <c r="X316" t="s">
        <v>14</v>
      </c>
      <c r="Y316">
        <v>115</v>
      </c>
      <c r="Z316" t="str">
        <f>_xlfn.IFNA(_xlfn.IFS(Y316&gt;Dash!$E$46, "Big", Y316&lt;Dash!$E$49, "Small", Y316&gt;Dash!$E$47, "Good"), "Norm")</f>
        <v>Good</v>
      </c>
      <c r="AA316">
        <v>67.75</v>
      </c>
      <c r="AB316" t="str">
        <f>_xlfn.IFNA(_xlfn.IFS(AA316&gt;Dash!$F$46, "Big", AA316&lt;Dash!$F$49, "Small", AA316&gt;Dash!$F$47, "Good"), "Norm")</f>
        <v>Norm</v>
      </c>
      <c r="AC316">
        <v>201</v>
      </c>
      <c r="AD316" t="str">
        <f>_xlfn.IFNA(_xlfn.IFS(AC316&gt;Dash!$G$46, "Big", AC316&lt;Dash!$G$49, "Small", AC316&gt;Dash!$G$47, "Good"), "Norm")</f>
        <v>Good</v>
      </c>
      <c r="AE316">
        <v>75.75</v>
      </c>
      <c r="AF316" t="str">
        <f>_xlfn.IFNA(_xlfn.IFS(AE316&gt;Dash!$H$46, "Big", AE316&lt;Dash!$H$49, "Small", AE316&gt;Dash!$H$47, "Good"), "Norm")</f>
        <v>Small</v>
      </c>
      <c r="AG316" t="s">
        <v>180</v>
      </c>
      <c r="AH316" t="str">
        <f>_xlfn.IFNA(_xlfn.IFS(AG316&gt;Dash!$I$46, "Big", AG316&lt;Dash!$I$49, "Small", AG316&gt;Dash!$I$47, "Good"), "Norm")</f>
        <v>Big</v>
      </c>
    </row>
    <row r="317" spans="1:34" x14ac:dyDescent="0.25">
      <c r="A317" s="1">
        <v>45628</v>
      </c>
      <c r="B317" t="s">
        <v>23</v>
      </c>
      <c r="C317" t="s">
        <v>13</v>
      </c>
      <c r="D317" t="s">
        <v>28</v>
      </c>
      <c r="E317">
        <v>260.75</v>
      </c>
      <c r="F317">
        <v>800</v>
      </c>
      <c r="J317" t="s">
        <v>27</v>
      </c>
      <c r="K317" t="s">
        <v>31</v>
      </c>
      <c r="L317" t="s">
        <v>32</v>
      </c>
      <c r="M317" t="s">
        <v>23</v>
      </c>
      <c r="N317">
        <v>9</v>
      </c>
      <c r="R317" t="s">
        <v>33</v>
      </c>
      <c r="S317" t="s">
        <v>28</v>
      </c>
      <c r="T317">
        <v>155.5</v>
      </c>
      <c r="U317" t="str">
        <f>_xlfn.IFNA(_xlfn.IFS(E317&gt;Dash!$D$46, "Big", E317&lt;Dash!$D$49, "Small", E317&gt;Dash!$D$47, "Good"), "Norm")</f>
        <v>Good</v>
      </c>
      <c r="V317" t="s">
        <v>33</v>
      </c>
      <c r="W317">
        <v>212</v>
      </c>
      <c r="X317" t="s">
        <v>28</v>
      </c>
      <c r="Y317">
        <v>64</v>
      </c>
      <c r="Z317" t="str">
        <f>_xlfn.IFNA(_xlfn.IFS(Y317&gt;Dash!$E$46, "Big", Y317&lt;Dash!$E$49, "Small", Y317&gt;Dash!$E$47, "Good"), "Norm")</f>
        <v>Norm</v>
      </c>
      <c r="AA317">
        <v>72</v>
      </c>
      <c r="AB317" t="str">
        <f>_xlfn.IFNA(_xlfn.IFS(AA317&gt;Dash!$F$46, "Big", AA317&lt;Dash!$F$49, "Small", AA317&gt;Dash!$F$47, "Good"), "Norm")</f>
        <v>Norm</v>
      </c>
      <c r="AC317">
        <v>239.75</v>
      </c>
      <c r="AD317" t="str">
        <f>_xlfn.IFNA(_xlfn.IFS(AC317&gt;Dash!$G$46, "Big", AC317&lt;Dash!$G$49, "Small", AC317&gt;Dash!$G$47, "Good"), "Norm")</f>
        <v>Good</v>
      </c>
      <c r="AE317">
        <v>83.5</v>
      </c>
      <c r="AF317" t="str">
        <f>_xlfn.IFNA(_xlfn.IFS(AE317&gt;Dash!$H$46, "Big", AE317&lt;Dash!$H$49, "Small", AE317&gt;Dash!$H$47, "Good"), "Norm")</f>
        <v>Small</v>
      </c>
      <c r="AG317">
        <v>31.5</v>
      </c>
      <c r="AH317" t="str">
        <f>_xlfn.IFNA(_xlfn.IFS(AG317&gt;Dash!$I$46, "Big", AG317&lt;Dash!$I$49, "Small", AG317&gt;Dash!$I$47, "Good"), "Norm")</f>
        <v>Norm</v>
      </c>
    </row>
    <row r="318" spans="1:34" x14ac:dyDescent="0.25">
      <c r="A318" s="1">
        <v>45629</v>
      </c>
      <c r="B318" t="s">
        <v>19</v>
      </c>
      <c r="C318" t="s">
        <v>33</v>
      </c>
      <c r="D318" t="s">
        <v>28</v>
      </c>
      <c r="E318">
        <v>155.5</v>
      </c>
      <c r="F318">
        <v>1100</v>
      </c>
      <c r="G318">
        <v>1100</v>
      </c>
      <c r="J318" t="s">
        <v>27</v>
      </c>
      <c r="K318" t="s">
        <v>25</v>
      </c>
      <c r="L318" t="s">
        <v>44</v>
      </c>
      <c r="M318" t="s">
        <v>23</v>
      </c>
      <c r="N318">
        <v>9</v>
      </c>
      <c r="R318" t="s">
        <v>13</v>
      </c>
      <c r="S318" t="s">
        <v>28</v>
      </c>
      <c r="T318">
        <v>160.25</v>
      </c>
      <c r="U318" t="str">
        <f>_xlfn.IFNA(_xlfn.IFS(E318&gt;Dash!$D$46, "Big", E318&lt;Dash!$D$49, "Small", E318&gt;Dash!$D$47, "Good"), "Norm")</f>
        <v>Small</v>
      </c>
      <c r="V318" t="s">
        <v>13</v>
      </c>
      <c r="W318">
        <v>260.75</v>
      </c>
      <c r="X318" t="s">
        <v>28</v>
      </c>
      <c r="Y318">
        <v>36.5</v>
      </c>
      <c r="Z318" t="str">
        <f>_xlfn.IFNA(_xlfn.IFS(Y318&gt;Dash!$E$46, "Big", Y318&lt;Dash!$E$49, "Small", Y318&gt;Dash!$E$47, "Good"), "Norm")</f>
        <v>Small</v>
      </c>
      <c r="AA318">
        <v>56.5</v>
      </c>
      <c r="AB318" t="str">
        <f>_xlfn.IFNA(_xlfn.IFS(AA318&gt;Dash!$F$46, "Big", AA318&lt;Dash!$F$49, "Small", AA318&gt;Dash!$F$47, "Good"), "Norm")</f>
        <v>Small</v>
      </c>
      <c r="AC318">
        <v>128.5</v>
      </c>
      <c r="AD318" t="str">
        <f>_xlfn.IFNA(_xlfn.IFS(AC318&gt;Dash!$G$46, "Big", AC318&lt;Dash!$G$49, "Small", AC318&gt;Dash!$G$47, "Good"), "Norm")</f>
        <v>Norm</v>
      </c>
      <c r="AE318">
        <v>99.75</v>
      </c>
      <c r="AF318" t="str">
        <f>_xlfn.IFNA(_xlfn.IFS(AE318&gt;Dash!$H$46, "Big", AE318&lt;Dash!$H$49, "Small", AE318&gt;Dash!$H$47, "Good"), "Norm")</f>
        <v>Norm</v>
      </c>
      <c r="AG318">
        <v>56.5</v>
      </c>
      <c r="AH318" t="str">
        <f>_xlfn.IFNA(_xlfn.IFS(AG318&gt;Dash!$I$46, "Big", AG318&lt;Dash!$I$49, "Small", AG318&gt;Dash!$I$47, "Good"), "Norm")</f>
        <v>Good</v>
      </c>
    </row>
    <row r="319" spans="1:34" x14ac:dyDescent="0.25">
      <c r="A319" s="1">
        <v>45630</v>
      </c>
      <c r="B319" t="s">
        <v>18</v>
      </c>
      <c r="C319" t="s">
        <v>13</v>
      </c>
      <c r="D319" t="s">
        <v>28</v>
      </c>
      <c r="E319">
        <v>160.25</v>
      </c>
      <c r="F319">
        <v>1800</v>
      </c>
      <c r="J319" t="s">
        <v>29</v>
      </c>
      <c r="K319" t="s">
        <v>31</v>
      </c>
      <c r="L319" t="s">
        <v>32</v>
      </c>
      <c r="M319" t="s">
        <v>23</v>
      </c>
      <c r="N319">
        <v>9</v>
      </c>
      <c r="R319" t="s">
        <v>33</v>
      </c>
      <c r="S319" t="s">
        <v>43</v>
      </c>
      <c r="T319">
        <v>108.25</v>
      </c>
      <c r="U319" t="str">
        <f>_xlfn.IFNA(_xlfn.IFS(E319&gt;Dash!$D$46, "Big", E319&lt;Dash!$D$49, "Small", E319&gt;Dash!$D$47, "Good"), "Norm")</f>
        <v>Norm</v>
      </c>
      <c r="V319" t="s">
        <v>33</v>
      </c>
      <c r="W319">
        <v>155.5</v>
      </c>
      <c r="X319" t="s">
        <v>28</v>
      </c>
      <c r="Y319">
        <v>62.5</v>
      </c>
      <c r="Z319" t="str">
        <f>_xlfn.IFNA(_xlfn.IFS(Y319&gt;Dash!$E$46, "Big", Y319&lt;Dash!$E$49, "Small", Y319&gt;Dash!$E$47, "Good"), "Norm")</f>
        <v>Norm</v>
      </c>
      <c r="AA319">
        <v>85.25</v>
      </c>
      <c r="AB319" t="str">
        <f>_xlfn.IFNA(_xlfn.IFS(AA319&gt;Dash!$F$46, "Big", AA319&lt;Dash!$F$49, "Small", AA319&gt;Dash!$F$47, "Good"), "Norm")</f>
        <v>Norm</v>
      </c>
      <c r="AC319">
        <v>108.5</v>
      </c>
      <c r="AD319" t="str">
        <f>_xlfn.IFNA(_xlfn.IFS(AC319&gt;Dash!$G$46, "Big", AC319&lt;Dash!$G$49, "Small", AC319&gt;Dash!$G$47, "Good"), "Norm")</f>
        <v>Small</v>
      </c>
      <c r="AE319">
        <v>109</v>
      </c>
      <c r="AF319" t="str">
        <f>_xlfn.IFNA(_xlfn.IFS(AE319&gt;Dash!$H$46, "Big", AE319&lt;Dash!$H$49, "Small", AE319&gt;Dash!$H$47, "Good"), "Norm")</f>
        <v>Norm</v>
      </c>
      <c r="AG319">
        <v>30</v>
      </c>
      <c r="AH319" t="str">
        <f>_xlfn.IFNA(_xlfn.IFS(AG319&gt;Dash!$I$46, "Big", AG319&lt;Dash!$I$49, "Small", AG319&gt;Dash!$I$47, "Good"), "Norm")</f>
        <v>Norm</v>
      </c>
    </row>
    <row r="320" spans="1:34" x14ac:dyDescent="0.25">
      <c r="A320" s="1">
        <v>45631</v>
      </c>
      <c r="B320" t="s">
        <v>36</v>
      </c>
      <c r="C320" t="s">
        <v>33</v>
      </c>
      <c r="D320" t="s">
        <v>43</v>
      </c>
      <c r="E320">
        <v>108.25</v>
      </c>
      <c r="F320">
        <v>900</v>
      </c>
      <c r="G320">
        <v>900</v>
      </c>
      <c r="J320" t="s">
        <v>27</v>
      </c>
      <c r="K320" t="s">
        <v>32</v>
      </c>
      <c r="L320" t="s">
        <v>42</v>
      </c>
      <c r="M320" t="s">
        <v>23</v>
      </c>
      <c r="N320">
        <v>9</v>
      </c>
      <c r="R320" t="s">
        <v>13</v>
      </c>
      <c r="S320" t="s">
        <v>38</v>
      </c>
      <c r="T320">
        <v>229</v>
      </c>
      <c r="U320" t="str">
        <f>_xlfn.IFNA(_xlfn.IFS(E320&gt;Dash!$D$46, "Big", E320&lt;Dash!$D$49, "Small", E320&gt;Dash!$D$47, "Good"), "Norm")</f>
        <v>Small</v>
      </c>
      <c r="V320" t="s">
        <v>13</v>
      </c>
      <c r="W320">
        <v>160.25</v>
      </c>
      <c r="X320" t="s">
        <v>28</v>
      </c>
      <c r="Y320">
        <v>28.25</v>
      </c>
      <c r="Z320" t="str">
        <f>_xlfn.IFNA(_xlfn.IFS(Y320&gt;Dash!$E$46, "Big", Y320&lt;Dash!$E$49, "Small", Y320&gt;Dash!$E$47, "Good"), "Norm")</f>
        <v>Small</v>
      </c>
      <c r="AA320">
        <v>48.75</v>
      </c>
      <c r="AB320" t="str">
        <f>_xlfn.IFNA(_xlfn.IFS(AA320&gt;Dash!$F$46, "Big", AA320&lt;Dash!$F$49, "Small", AA320&gt;Dash!$F$47, "Good"), "Norm")</f>
        <v>Small</v>
      </c>
      <c r="AC320">
        <v>63.75</v>
      </c>
      <c r="AD320" t="str">
        <f>_xlfn.IFNA(_xlfn.IFS(AC320&gt;Dash!$G$46, "Big", AC320&lt;Dash!$G$49, "Small", AC320&gt;Dash!$G$47, "Good"), "Norm")</f>
        <v>Small</v>
      </c>
      <c r="AE320">
        <v>108.25</v>
      </c>
      <c r="AF320" t="str">
        <f>_xlfn.IFNA(_xlfn.IFS(AE320&gt;Dash!$H$46, "Big", AE320&lt;Dash!$H$49, "Small", AE320&gt;Dash!$H$47, "Good"), "Norm")</f>
        <v>Norm</v>
      </c>
      <c r="AG320">
        <v>39</v>
      </c>
      <c r="AH320" t="str">
        <f>_xlfn.IFNA(_xlfn.IFS(AG320&gt;Dash!$I$46, "Big", AG320&lt;Dash!$I$49, "Small", AG320&gt;Dash!$I$47, "Good"), "Norm")</f>
        <v>Good</v>
      </c>
    </row>
    <row r="321" spans="1:34" x14ac:dyDescent="0.25">
      <c r="A321" s="1">
        <v>45632</v>
      </c>
      <c r="B321" t="s">
        <v>26</v>
      </c>
      <c r="C321" t="s">
        <v>13</v>
      </c>
      <c r="D321" t="s">
        <v>38</v>
      </c>
      <c r="E321">
        <v>229</v>
      </c>
      <c r="F321">
        <v>1800</v>
      </c>
      <c r="G321">
        <v>1800</v>
      </c>
      <c r="H321">
        <v>900</v>
      </c>
      <c r="J321" t="s">
        <v>37</v>
      </c>
      <c r="K321" t="s">
        <v>31</v>
      </c>
      <c r="L321" t="s">
        <v>32</v>
      </c>
      <c r="M321" t="s">
        <v>23</v>
      </c>
      <c r="N321">
        <v>9</v>
      </c>
      <c r="R321" t="s">
        <v>41</v>
      </c>
      <c r="S321" t="s">
        <v>43</v>
      </c>
      <c r="T321">
        <v>212.75</v>
      </c>
      <c r="U321" t="str">
        <f>_xlfn.IFNA(_xlfn.IFS(E321&gt;Dash!$D$46, "Big", E321&lt;Dash!$D$49, "Small", E321&gt;Dash!$D$47, "Good"), "Norm")</f>
        <v>Norm</v>
      </c>
      <c r="V321" t="s">
        <v>33</v>
      </c>
      <c r="W321">
        <v>108.25</v>
      </c>
      <c r="X321" t="s">
        <v>43</v>
      </c>
      <c r="Y321">
        <v>58.75</v>
      </c>
      <c r="Z321" t="str">
        <f>_xlfn.IFNA(_xlfn.IFS(Y321&gt;Dash!$E$46, "Big", Y321&lt;Dash!$E$49, "Small", Y321&gt;Dash!$E$47, "Good"), "Norm")</f>
        <v>Norm</v>
      </c>
      <c r="AA321">
        <v>51</v>
      </c>
      <c r="AB321" t="str">
        <f>_xlfn.IFNA(_xlfn.IFS(AA321&gt;Dash!$F$46, "Big", AA321&lt;Dash!$F$49, "Small", AA321&gt;Dash!$F$47, "Good"), "Norm")</f>
        <v>Small</v>
      </c>
      <c r="AC321">
        <v>205</v>
      </c>
      <c r="AD321" t="str">
        <f>_xlfn.IFNA(_xlfn.IFS(AC321&gt;Dash!$G$46, "Big", AC321&lt;Dash!$G$49, "Small", AC321&gt;Dash!$G$47, "Good"), "Norm")</f>
        <v>Good</v>
      </c>
      <c r="AE321">
        <v>71.75</v>
      </c>
      <c r="AF321" t="str">
        <f>_xlfn.IFNA(_xlfn.IFS(AE321&gt;Dash!$H$46, "Big", AE321&lt;Dash!$H$49, "Small", AE321&gt;Dash!$H$47, "Good"), "Norm")</f>
        <v>Small</v>
      </c>
      <c r="AG321">
        <v>32.5</v>
      </c>
      <c r="AH321" t="str">
        <f>_xlfn.IFNA(_xlfn.IFS(AG321&gt;Dash!$I$46, "Big", AG321&lt;Dash!$I$49, "Small", AG321&gt;Dash!$I$47, "Good"), "Norm")</f>
        <v>Norm</v>
      </c>
    </row>
    <row r="322" spans="1:34" x14ac:dyDescent="0.25">
      <c r="A322" s="1">
        <v>45635</v>
      </c>
      <c r="B322" t="s">
        <v>23</v>
      </c>
      <c r="C322" t="s">
        <v>41</v>
      </c>
      <c r="D322" t="s">
        <v>43</v>
      </c>
      <c r="E322">
        <v>212.75</v>
      </c>
      <c r="F322">
        <v>1800</v>
      </c>
      <c r="G322">
        <v>1800</v>
      </c>
      <c r="J322" t="s">
        <v>29</v>
      </c>
      <c r="K322" t="s">
        <v>22</v>
      </c>
      <c r="L322" t="s">
        <v>25</v>
      </c>
      <c r="M322" t="s">
        <v>18</v>
      </c>
      <c r="N322">
        <v>6</v>
      </c>
      <c r="R322" t="s">
        <v>33</v>
      </c>
      <c r="S322" t="s">
        <v>14</v>
      </c>
      <c r="T322">
        <v>254</v>
      </c>
      <c r="U322" t="str">
        <f>_xlfn.IFNA(_xlfn.IFS(E322&gt;Dash!$D$46, "Big", E322&lt;Dash!$D$49, "Small", E322&gt;Dash!$D$47, "Good"), "Norm")</f>
        <v>Norm</v>
      </c>
      <c r="V322" t="s">
        <v>13</v>
      </c>
      <c r="W322">
        <v>229</v>
      </c>
      <c r="X322" t="s">
        <v>38</v>
      </c>
      <c r="Y322">
        <v>44</v>
      </c>
      <c r="Z322" t="str">
        <f>_xlfn.IFNA(_xlfn.IFS(Y322&gt;Dash!$E$46, "Big", Y322&lt;Dash!$E$49, "Small", Y322&gt;Dash!$E$47, "Good"), "Norm")</f>
        <v>Norm</v>
      </c>
      <c r="AA322">
        <v>120.25</v>
      </c>
      <c r="AB322" t="str">
        <f>_xlfn.IFNA(_xlfn.IFS(AA322&gt;Dash!$F$46, "Big", AA322&lt;Dash!$F$49, "Small", AA322&gt;Dash!$F$47, "Good"), "Norm")</f>
        <v>Good</v>
      </c>
      <c r="AC322">
        <v>212.75</v>
      </c>
      <c r="AD322" t="str">
        <f>_xlfn.IFNA(_xlfn.IFS(AC322&gt;Dash!$G$46, "Big", AC322&lt;Dash!$G$49, "Small", AC322&gt;Dash!$G$47, "Good"), "Norm")</f>
        <v>Good</v>
      </c>
      <c r="AE322">
        <v>108.5</v>
      </c>
      <c r="AF322" t="str">
        <f>_xlfn.IFNA(_xlfn.IFS(AE322&gt;Dash!$H$46, "Big", AE322&lt;Dash!$H$49, "Small", AE322&gt;Dash!$H$47, "Good"), "Norm")</f>
        <v>Norm</v>
      </c>
      <c r="AG322">
        <v>24.25</v>
      </c>
      <c r="AH322" t="str">
        <f>_xlfn.IFNA(_xlfn.IFS(AG322&gt;Dash!$I$46, "Big", AG322&lt;Dash!$I$49, "Small", AG322&gt;Dash!$I$47, "Good"), "Norm")</f>
        <v>Norm</v>
      </c>
    </row>
    <row r="323" spans="1:34" x14ac:dyDescent="0.25">
      <c r="A323" s="1">
        <v>45636</v>
      </c>
      <c r="B323" t="s">
        <v>19</v>
      </c>
      <c r="C323" t="s">
        <v>33</v>
      </c>
      <c r="D323" t="s">
        <v>14</v>
      </c>
      <c r="E323">
        <v>254</v>
      </c>
      <c r="F323">
        <v>1400</v>
      </c>
      <c r="J323" t="s">
        <v>21</v>
      </c>
      <c r="K323" t="s">
        <v>35</v>
      </c>
      <c r="L323" t="s">
        <v>17</v>
      </c>
      <c r="M323" t="s">
        <v>18</v>
      </c>
      <c r="N323">
        <v>6</v>
      </c>
      <c r="R323" t="s">
        <v>20</v>
      </c>
      <c r="S323" t="s">
        <v>28</v>
      </c>
      <c r="T323">
        <v>383.75</v>
      </c>
      <c r="U323" t="str">
        <f>_xlfn.IFNA(_xlfn.IFS(E323&gt;Dash!$D$46, "Big", E323&lt;Dash!$D$49, "Small", E323&gt;Dash!$D$47, "Good"), "Norm")</f>
        <v>Good</v>
      </c>
      <c r="V323" t="s">
        <v>41</v>
      </c>
      <c r="W323">
        <v>212.75</v>
      </c>
      <c r="X323" t="s">
        <v>43</v>
      </c>
      <c r="Y323">
        <v>32.25</v>
      </c>
      <c r="Z323" t="str">
        <f>_xlfn.IFNA(_xlfn.IFS(Y323&gt;Dash!$E$46, "Big", Y323&lt;Dash!$E$49, "Small", Y323&gt;Dash!$E$47, "Good"), "Norm")</f>
        <v>Small</v>
      </c>
      <c r="AA323">
        <v>87.25</v>
      </c>
      <c r="AB323" t="str">
        <f>_xlfn.IFNA(_xlfn.IFS(AA323&gt;Dash!$F$46, "Big", AA323&lt;Dash!$F$49, "Small", AA323&gt;Dash!$F$47, "Good"), "Norm")</f>
        <v>Norm</v>
      </c>
      <c r="AC323">
        <v>157.75</v>
      </c>
      <c r="AD323" t="str">
        <f>_xlfn.IFNA(_xlfn.IFS(AC323&gt;Dash!$G$46, "Big", AC323&lt;Dash!$G$49, "Small", AC323&gt;Dash!$G$47, "Good"), "Norm")</f>
        <v>Norm</v>
      </c>
      <c r="AE323">
        <v>149.75</v>
      </c>
      <c r="AF323" t="str">
        <f>_xlfn.IFNA(_xlfn.IFS(AE323&gt;Dash!$H$46, "Big", AE323&lt;Dash!$H$49, "Small", AE323&gt;Dash!$H$47, "Good"), "Norm")</f>
        <v>Norm</v>
      </c>
      <c r="AG323">
        <v>30.75</v>
      </c>
      <c r="AH323" t="str">
        <f>_xlfn.IFNA(_xlfn.IFS(AG323&gt;Dash!$I$46, "Big", AG323&lt;Dash!$I$49, "Small", AG323&gt;Dash!$I$47, "Good"), "Norm")</f>
        <v>Norm</v>
      </c>
    </row>
    <row r="324" spans="1:34" x14ac:dyDescent="0.25">
      <c r="A324" s="1">
        <v>45637</v>
      </c>
      <c r="B324" t="s">
        <v>18</v>
      </c>
      <c r="C324" t="s">
        <v>20</v>
      </c>
      <c r="D324" t="s">
        <v>28</v>
      </c>
      <c r="E324">
        <v>383.75</v>
      </c>
      <c r="F324">
        <v>900</v>
      </c>
      <c r="J324" t="s">
        <v>27</v>
      </c>
      <c r="K324" t="s">
        <v>39</v>
      </c>
      <c r="L324" t="s">
        <v>32</v>
      </c>
      <c r="M324" t="s">
        <v>18</v>
      </c>
      <c r="N324">
        <v>6</v>
      </c>
      <c r="R324" t="s">
        <v>13</v>
      </c>
      <c r="S324">
        <v>1</v>
      </c>
      <c r="T324">
        <v>120.25</v>
      </c>
      <c r="U324" t="str">
        <f>_xlfn.IFNA(_xlfn.IFS(E324&gt;Dash!$D$46, "Big", E324&lt;Dash!$D$49, "Small", E324&gt;Dash!$D$47, "Good"), "Norm")</f>
        <v>Good</v>
      </c>
      <c r="V324" t="s">
        <v>33</v>
      </c>
      <c r="W324">
        <v>254</v>
      </c>
      <c r="X324" t="s">
        <v>14</v>
      </c>
      <c r="Y324">
        <v>40</v>
      </c>
      <c r="Z324" t="str">
        <f>_xlfn.IFNA(_xlfn.IFS(Y324&gt;Dash!$E$46, "Big", Y324&lt;Dash!$E$49, "Small", Y324&gt;Dash!$E$47, "Good"), "Norm")</f>
        <v>Small</v>
      </c>
      <c r="AA324">
        <v>53.75</v>
      </c>
      <c r="AB324" t="str">
        <f>_xlfn.IFNA(_xlfn.IFS(AA324&gt;Dash!$F$46, "Big", AA324&lt;Dash!$F$49, "Small", AA324&gt;Dash!$F$47, "Good"), "Norm")</f>
        <v>Small</v>
      </c>
      <c r="AC324">
        <v>333.75</v>
      </c>
      <c r="AD324" t="str">
        <f>_xlfn.IFNA(_xlfn.IFS(AC324&gt;Dash!$G$46, "Big", AC324&lt;Dash!$G$49, "Small", AC324&gt;Dash!$G$47, "Good"), "Norm")</f>
        <v>Big</v>
      </c>
      <c r="AE324">
        <v>61</v>
      </c>
      <c r="AF324" t="str">
        <f>_xlfn.IFNA(_xlfn.IFS(AE324&gt;Dash!$H$46, "Big", AE324&lt;Dash!$H$49, "Small", AE324&gt;Dash!$H$47, "Good"), "Norm")</f>
        <v>Small</v>
      </c>
      <c r="AG324">
        <v>42.25</v>
      </c>
      <c r="AH324" t="str">
        <f>_xlfn.IFNA(_xlfn.IFS(AG324&gt;Dash!$I$46, "Big", AG324&lt;Dash!$I$49, "Small", AG324&gt;Dash!$I$47, "Good"), "Norm")</f>
        <v>Good</v>
      </c>
    </row>
    <row r="325" spans="1:34" x14ac:dyDescent="0.25">
      <c r="A325" s="1">
        <v>45638</v>
      </c>
      <c r="B325" t="s">
        <v>36</v>
      </c>
      <c r="C325" t="s">
        <v>13</v>
      </c>
      <c r="D325">
        <v>1</v>
      </c>
      <c r="E325">
        <v>120.25</v>
      </c>
      <c r="J325" t="s">
        <v>34</v>
      </c>
      <c r="K325" t="s">
        <v>16</v>
      </c>
      <c r="L325" t="s">
        <v>42</v>
      </c>
      <c r="M325" t="s">
        <v>18</v>
      </c>
      <c r="N325">
        <v>6</v>
      </c>
      <c r="R325" t="s">
        <v>41</v>
      </c>
      <c r="S325" t="s">
        <v>40</v>
      </c>
      <c r="T325">
        <v>241.5</v>
      </c>
      <c r="U325" t="str">
        <f>_xlfn.IFNA(_xlfn.IFS(E325&gt;Dash!$D$46, "Big", E325&lt;Dash!$D$49, "Small", E325&gt;Dash!$D$47, "Good"), "Norm")</f>
        <v>Small</v>
      </c>
      <c r="V325" t="s">
        <v>20</v>
      </c>
      <c r="W325">
        <v>383.75</v>
      </c>
      <c r="X325" t="s">
        <v>28</v>
      </c>
      <c r="Y325">
        <v>30</v>
      </c>
      <c r="Z325" t="str">
        <f>_xlfn.IFNA(_xlfn.IFS(Y325&gt;Dash!$E$46, "Big", Y325&lt;Dash!$E$49, "Small", Y325&gt;Dash!$E$47, "Good"), "Norm")</f>
        <v>Small</v>
      </c>
      <c r="AA325">
        <v>77.75</v>
      </c>
      <c r="AB325" t="str">
        <f>_xlfn.IFNA(_xlfn.IFS(AA325&gt;Dash!$F$46, "Big", AA325&lt;Dash!$F$49, "Small", AA325&gt;Dash!$F$47, "Good"), "Norm")</f>
        <v>Norm</v>
      </c>
      <c r="AC325">
        <v>115</v>
      </c>
      <c r="AD325" t="str">
        <f>_xlfn.IFNA(_xlfn.IFS(AC325&gt;Dash!$G$46, "Big", AC325&lt;Dash!$G$49, "Small", AC325&gt;Dash!$G$47, "Good"), "Norm")</f>
        <v>Small</v>
      </c>
      <c r="AE325">
        <v>102.75</v>
      </c>
      <c r="AF325" t="str">
        <f>_xlfn.IFNA(_xlfn.IFS(AE325&gt;Dash!$H$46, "Big", AE325&lt;Dash!$H$49, "Small", AE325&gt;Dash!$H$47, "Good"), "Norm")</f>
        <v>Norm</v>
      </c>
      <c r="AG325">
        <v>80.75</v>
      </c>
      <c r="AH325" t="str">
        <f>_xlfn.IFNA(_xlfn.IFS(AG325&gt;Dash!$I$46, "Big", AG325&lt;Dash!$I$49, "Small", AG325&gt;Dash!$I$47, "Good"), "Norm")</f>
        <v>Good</v>
      </c>
    </row>
    <row r="326" spans="1:34" x14ac:dyDescent="0.25">
      <c r="A326" s="1">
        <v>45639</v>
      </c>
      <c r="B326" t="s">
        <v>26</v>
      </c>
      <c r="C326" t="s">
        <v>41</v>
      </c>
      <c r="D326" t="s">
        <v>40</v>
      </c>
      <c r="E326">
        <v>241.5</v>
      </c>
      <c r="F326">
        <v>400</v>
      </c>
      <c r="J326" t="s">
        <v>30</v>
      </c>
      <c r="K326" t="s">
        <v>35</v>
      </c>
      <c r="L326" t="s">
        <v>25</v>
      </c>
      <c r="M326" t="s">
        <v>18</v>
      </c>
      <c r="N326">
        <v>6</v>
      </c>
      <c r="R326" t="s">
        <v>13</v>
      </c>
      <c r="S326" t="s">
        <v>40</v>
      </c>
      <c r="T326">
        <v>284</v>
      </c>
      <c r="U326" t="str">
        <f>_xlfn.IFNA(_xlfn.IFS(E326&gt;Dash!$D$46, "Big", E326&lt;Dash!$D$49, "Small", E326&gt;Dash!$D$47, "Good"), "Norm")</f>
        <v>Norm</v>
      </c>
      <c r="V326" t="s">
        <v>13</v>
      </c>
      <c r="W326">
        <v>120.25</v>
      </c>
      <c r="X326">
        <v>1</v>
      </c>
      <c r="Y326">
        <v>71</v>
      </c>
      <c r="Z326" t="str">
        <f>_xlfn.IFNA(_xlfn.IFS(Y326&gt;Dash!$E$46, "Big", Y326&lt;Dash!$E$49, "Small", Y326&gt;Dash!$E$47, "Good"), "Norm")</f>
        <v>Norm</v>
      </c>
      <c r="AA326">
        <v>111.25</v>
      </c>
      <c r="AB326" t="str">
        <f>_xlfn.IFNA(_xlfn.IFS(AA326&gt;Dash!$F$46, "Big", AA326&lt;Dash!$F$49, "Small", AA326&gt;Dash!$F$47, "Good"), "Norm")</f>
        <v>Good</v>
      </c>
      <c r="AC326">
        <v>241.5</v>
      </c>
      <c r="AD326" t="str">
        <f>_xlfn.IFNA(_xlfn.IFS(AC326&gt;Dash!$G$46, "Big", AC326&lt;Dash!$G$49, "Small", AC326&gt;Dash!$G$47, "Good"), "Norm")</f>
        <v>Good</v>
      </c>
      <c r="AE326">
        <v>144.5</v>
      </c>
      <c r="AF326" t="str">
        <f>_xlfn.IFNA(_xlfn.IFS(AE326&gt;Dash!$H$46, "Big", AE326&lt;Dash!$H$49, "Small", AE326&gt;Dash!$H$47, "Good"), "Norm")</f>
        <v>Norm</v>
      </c>
      <c r="AG326">
        <v>46.25</v>
      </c>
      <c r="AH326" t="str">
        <f>_xlfn.IFNA(_xlfn.IFS(AG326&gt;Dash!$I$46, "Big", AG326&lt;Dash!$I$49, "Small", AG326&gt;Dash!$I$47, "Good"), "Norm")</f>
        <v>Good</v>
      </c>
    </row>
    <row r="327" spans="1:34" x14ac:dyDescent="0.25">
      <c r="A327" s="1">
        <v>45642</v>
      </c>
      <c r="B327" t="s">
        <v>23</v>
      </c>
      <c r="C327" t="s">
        <v>13</v>
      </c>
      <c r="D327" t="s">
        <v>40</v>
      </c>
      <c r="E327">
        <v>284</v>
      </c>
      <c r="F327">
        <v>1800</v>
      </c>
      <c r="G327">
        <v>1800</v>
      </c>
      <c r="J327" t="s">
        <v>29</v>
      </c>
      <c r="K327" t="s">
        <v>31</v>
      </c>
      <c r="L327" t="s">
        <v>32</v>
      </c>
      <c r="M327" t="s">
        <v>23</v>
      </c>
      <c r="N327">
        <v>11</v>
      </c>
      <c r="R327" t="s">
        <v>24</v>
      </c>
      <c r="S327">
        <v>1</v>
      </c>
      <c r="T327">
        <v>141.75</v>
      </c>
      <c r="U327" t="str">
        <f>_xlfn.IFNA(_xlfn.IFS(E327&gt;Dash!$D$46, "Big", E327&lt;Dash!$D$49, "Small", E327&gt;Dash!$D$47, "Good"), "Norm")</f>
        <v>Good</v>
      </c>
      <c r="V327" t="s">
        <v>41</v>
      </c>
      <c r="W327">
        <v>241.5</v>
      </c>
      <c r="X327" t="s">
        <v>40</v>
      </c>
      <c r="Y327">
        <v>60.25</v>
      </c>
      <c r="Z327" t="str">
        <f>_xlfn.IFNA(_xlfn.IFS(Y327&gt;Dash!$E$46, "Big", Y327&lt;Dash!$E$49, "Small", Y327&gt;Dash!$E$47, "Good"), "Norm")</f>
        <v>Norm</v>
      </c>
      <c r="AA327">
        <v>103</v>
      </c>
      <c r="AB327" t="str">
        <f>_xlfn.IFNA(_xlfn.IFS(AA327&gt;Dash!$F$46, "Big", AA327&lt;Dash!$F$49, "Small", AA327&gt;Dash!$F$47, "Good"), "Norm")</f>
        <v>Good</v>
      </c>
      <c r="AC327">
        <v>185.5</v>
      </c>
      <c r="AD327" t="str">
        <f>_xlfn.IFNA(_xlfn.IFS(AC327&gt;Dash!$G$46, "Big", AC327&lt;Dash!$G$49, "Small", AC327&gt;Dash!$G$47, "Good"), "Norm")</f>
        <v>Norm</v>
      </c>
      <c r="AE327">
        <v>117.75</v>
      </c>
      <c r="AF327" t="str">
        <f>_xlfn.IFNA(_xlfn.IFS(AE327&gt;Dash!$H$46, "Big", AE327&lt;Dash!$H$49, "Small", AE327&gt;Dash!$H$47, "Good"), "Norm")</f>
        <v>Norm</v>
      </c>
      <c r="AG327">
        <v>25.25</v>
      </c>
      <c r="AH327" t="str">
        <f>_xlfn.IFNA(_xlfn.IFS(AG327&gt;Dash!$I$46, "Big", AG327&lt;Dash!$I$49, "Small", AG327&gt;Dash!$I$47, "Good"), "Norm")</f>
        <v>Norm</v>
      </c>
    </row>
    <row r="328" spans="1:34" x14ac:dyDescent="0.25">
      <c r="A328" s="1">
        <v>45643</v>
      </c>
      <c r="B328" t="s">
        <v>19</v>
      </c>
      <c r="C328" t="s">
        <v>24</v>
      </c>
      <c r="D328">
        <v>1</v>
      </c>
      <c r="E328">
        <v>141.75</v>
      </c>
      <c r="J328" t="s">
        <v>34</v>
      </c>
      <c r="K328" t="s">
        <v>16</v>
      </c>
      <c r="L328" t="s">
        <v>25</v>
      </c>
      <c r="M328" t="s">
        <v>23</v>
      </c>
      <c r="N328">
        <v>11</v>
      </c>
      <c r="R328" t="s">
        <v>20</v>
      </c>
      <c r="S328" t="s">
        <v>14</v>
      </c>
      <c r="T328">
        <v>948.75</v>
      </c>
      <c r="U328" t="str">
        <f>_xlfn.IFNA(_xlfn.IFS(E328&gt;Dash!$D$46, "Big", E328&lt;Dash!$D$49, "Small", E328&gt;Dash!$D$47, "Good"), "Norm")</f>
        <v>Small</v>
      </c>
      <c r="V328" t="s">
        <v>13</v>
      </c>
      <c r="W328">
        <v>284</v>
      </c>
      <c r="X328" t="s">
        <v>40</v>
      </c>
      <c r="Y328">
        <v>49.25</v>
      </c>
      <c r="Z328" t="str">
        <f>_xlfn.IFNA(_xlfn.IFS(Y328&gt;Dash!$E$46, "Big", Y328&lt;Dash!$E$49, "Small", Y328&gt;Dash!$E$47, "Good"), "Norm")</f>
        <v>Norm</v>
      </c>
      <c r="AA328">
        <v>99.5</v>
      </c>
      <c r="AB328" t="str">
        <f>_xlfn.IFNA(_xlfn.IFS(AA328&gt;Dash!$F$46, "Big", AA328&lt;Dash!$F$49, "Small", AA328&gt;Dash!$F$47, "Good"), "Norm")</f>
        <v>Good</v>
      </c>
      <c r="AC328">
        <v>141.75</v>
      </c>
      <c r="AD328" t="str">
        <f>_xlfn.IFNA(_xlfn.IFS(AC328&gt;Dash!$G$46, "Big", AC328&lt;Dash!$G$49, "Small", AC328&gt;Dash!$G$47, "Good"), "Norm")</f>
        <v>Norm</v>
      </c>
      <c r="AE328">
        <v>104.75</v>
      </c>
      <c r="AF328" t="str">
        <f>_xlfn.IFNA(_xlfn.IFS(AE328&gt;Dash!$H$46, "Big", AE328&lt;Dash!$H$49, "Small", AE328&gt;Dash!$H$47, "Good"), "Norm")</f>
        <v>Norm</v>
      </c>
      <c r="AG328">
        <v>33</v>
      </c>
      <c r="AH328" t="str">
        <f>_xlfn.IFNA(_xlfn.IFS(AG328&gt;Dash!$I$46, "Big", AG328&lt;Dash!$I$49, "Small", AG328&gt;Dash!$I$47, "Good"), "Norm")</f>
        <v>Norm</v>
      </c>
    </row>
    <row r="329" spans="1:34" x14ac:dyDescent="0.25">
      <c r="A329" s="1">
        <v>45644</v>
      </c>
      <c r="B329" t="s">
        <v>18</v>
      </c>
      <c r="C329" t="s">
        <v>20</v>
      </c>
      <c r="D329" t="s">
        <v>14</v>
      </c>
      <c r="E329">
        <v>948.75</v>
      </c>
      <c r="F329">
        <v>1800</v>
      </c>
      <c r="G329">
        <v>1800</v>
      </c>
      <c r="J329" t="s">
        <v>37</v>
      </c>
      <c r="K329" t="s">
        <v>22</v>
      </c>
      <c r="L329" t="s">
        <v>17</v>
      </c>
      <c r="M329" t="s">
        <v>23</v>
      </c>
      <c r="N329">
        <v>11</v>
      </c>
      <c r="R329" t="s">
        <v>33</v>
      </c>
      <c r="S329">
        <v>1</v>
      </c>
      <c r="T329">
        <v>334.75</v>
      </c>
      <c r="U329" t="str">
        <f>_xlfn.IFNA(_xlfn.IFS(E329&gt;Dash!$D$46, "Big", E329&lt;Dash!$D$49, "Small", E329&gt;Dash!$D$47, "Good"), "Norm")</f>
        <v>Big</v>
      </c>
      <c r="V329" t="s">
        <v>24</v>
      </c>
      <c r="W329">
        <v>141.75</v>
      </c>
      <c r="X329">
        <v>1</v>
      </c>
      <c r="Y329">
        <v>142</v>
      </c>
      <c r="Z329" t="str">
        <f>_xlfn.IFNA(_xlfn.IFS(Y329&gt;Dash!$E$46, "Big", Y329&lt;Dash!$E$49, "Small", Y329&gt;Dash!$E$47, "Good"), "Norm")</f>
        <v>Big</v>
      </c>
      <c r="AA329">
        <v>73.75</v>
      </c>
      <c r="AB329" t="str">
        <f>_xlfn.IFNA(_xlfn.IFS(AA329&gt;Dash!$F$46, "Big", AA329&lt;Dash!$F$49, "Small", AA329&gt;Dash!$F$47, "Good"), "Norm")</f>
        <v>Norm</v>
      </c>
      <c r="AC329">
        <v>167.5</v>
      </c>
      <c r="AD329" t="str">
        <f>_xlfn.IFNA(_xlfn.IFS(AC329&gt;Dash!$G$46, "Big", AC329&lt;Dash!$G$49, "Small", AC329&gt;Dash!$G$47, "Good"), "Norm")</f>
        <v>Norm</v>
      </c>
      <c r="AE329">
        <v>892.75</v>
      </c>
      <c r="AF329" t="str">
        <f>_xlfn.IFNA(_xlfn.IFS(AE329&gt;Dash!$H$46, "Big", AE329&lt;Dash!$H$49, "Small", AE329&gt;Dash!$H$47, "Good"), "Norm")</f>
        <v>Big</v>
      </c>
      <c r="AG329">
        <v>204.5</v>
      </c>
      <c r="AH329" t="str">
        <f>_xlfn.IFNA(_xlfn.IFS(AG329&gt;Dash!$I$46, "Big", AG329&lt;Dash!$I$49, "Small", AG329&gt;Dash!$I$47, "Good"), "Norm")</f>
        <v>Big</v>
      </c>
    </row>
    <row r="330" spans="1:34" x14ac:dyDescent="0.25">
      <c r="A330" s="1">
        <v>45645</v>
      </c>
      <c r="B330" t="s">
        <v>36</v>
      </c>
      <c r="C330" t="s">
        <v>33</v>
      </c>
      <c r="D330">
        <v>1</v>
      </c>
      <c r="E330">
        <v>334.75</v>
      </c>
      <c r="J330" t="s">
        <v>34</v>
      </c>
      <c r="K330" t="s">
        <v>35</v>
      </c>
      <c r="L330" t="s">
        <v>17</v>
      </c>
      <c r="M330" t="s">
        <v>23</v>
      </c>
      <c r="N330">
        <v>11</v>
      </c>
      <c r="R330" t="s">
        <v>20</v>
      </c>
      <c r="S330" t="s">
        <v>38</v>
      </c>
      <c r="T330">
        <v>741.75</v>
      </c>
      <c r="U330" t="str">
        <f>_xlfn.IFNA(_xlfn.IFS(E330&gt;Dash!$D$46, "Big", E330&lt;Dash!$D$49, "Small", E330&gt;Dash!$D$47, "Good"), "Norm")</f>
        <v>Good</v>
      </c>
      <c r="V330" t="s">
        <v>20</v>
      </c>
      <c r="W330">
        <v>948.75</v>
      </c>
      <c r="X330" t="s">
        <v>14</v>
      </c>
      <c r="Y330">
        <v>122</v>
      </c>
      <c r="Z330" t="str">
        <f>_xlfn.IFNA(_xlfn.IFS(Y330&gt;Dash!$E$46, "Big", Y330&lt;Dash!$E$49, "Small", Y330&gt;Dash!$E$47, "Good"), "Norm")</f>
        <v>Good</v>
      </c>
      <c r="AA330">
        <v>194.25</v>
      </c>
      <c r="AB330" t="str">
        <f>_xlfn.IFNA(_xlfn.IFS(AA330&gt;Dash!$F$46, "Big", AA330&lt;Dash!$F$49, "Small", AA330&gt;Dash!$F$47, "Good"), "Norm")</f>
        <v>Big</v>
      </c>
      <c r="AC330">
        <v>236.75</v>
      </c>
      <c r="AD330" t="str">
        <f>_xlfn.IFNA(_xlfn.IFS(AC330&gt;Dash!$G$46, "Big", AC330&lt;Dash!$G$49, "Small", AC330&gt;Dash!$G$47, "Good"), "Norm")</f>
        <v>Good</v>
      </c>
      <c r="AE330">
        <v>236</v>
      </c>
      <c r="AF330" t="str">
        <f>_xlfn.IFNA(_xlfn.IFS(AE330&gt;Dash!$H$46, "Big", AE330&lt;Dash!$H$49, "Small", AE330&gt;Dash!$H$47, "Good"), "Norm")</f>
        <v>Big</v>
      </c>
      <c r="AG330">
        <v>73.75</v>
      </c>
      <c r="AH330" t="str">
        <f>_xlfn.IFNA(_xlfn.IFS(AG330&gt;Dash!$I$46, "Big", AG330&lt;Dash!$I$49, "Small", AG330&gt;Dash!$I$47, "Good"), "Norm")</f>
        <v>Good</v>
      </c>
    </row>
    <row r="331" spans="1:34" x14ac:dyDescent="0.25">
      <c r="A331" s="1">
        <v>45646</v>
      </c>
      <c r="B331" t="s">
        <v>26</v>
      </c>
      <c r="C331" t="s">
        <v>20</v>
      </c>
      <c r="D331" t="s">
        <v>38</v>
      </c>
      <c r="E331">
        <v>741.75</v>
      </c>
      <c r="F331">
        <v>1900</v>
      </c>
      <c r="G331">
        <v>1000</v>
      </c>
      <c r="H331">
        <v>1100</v>
      </c>
      <c r="I331">
        <v>1300</v>
      </c>
      <c r="J331" t="s">
        <v>37</v>
      </c>
      <c r="K331" t="s">
        <v>39</v>
      </c>
      <c r="L331" t="s">
        <v>32</v>
      </c>
      <c r="M331" t="s">
        <v>23</v>
      </c>
      <c r="N331">
        <v>11</v>
      </c>
      <c r="O331" t="s">
        <v>67</v>
      </c>
      <c r="R331" t="s">
        <v>33</v>
      </c>
      <c r="S331">
        <v>1</v>
      </c>
      <c r="T331">
        <v>300</v>
      </c>
      <c r="U331" t="str">
        <f>_xlfn.IFNA(_xlfn.IFS(E331&gt;Dash!$D$46, "Big", E331&lt;Dash!$D$49, "Small", E331&gt;Dash!$D$47, "Good"), "Norm")</f>
        <v>Big</v>
      </c>
      <c r="V331" t="s">
        <v>33</v>
      </c>
      <c r="W331">
        <v>334.75</v>
      </c>
      <c r="X331">
        <v>1</v>
      </c>
      <c r="Y331">
        <v>225.25</v>
      </c>
      <c r="Z331" t="str">
        <f>_xlfn.IFNA(_xlfn.IFS(Y331&gt;Dash!$E$46, "Big", Y331&lt;Dash!$E$49, "Small", Y331&gt;Dash!$E$47, "Good"), "Norm")</f>
        <v>Big</v>
      </c>
      <c r="AA331">
        <v>295</v>
      </c>
      <c r="AB331" t="str">
        <f>_xlfn.IFNA(_xlfn.IFS(AA331&gt;Dash!$F$46, "Big", AA331&lt;Dash!$F$49, "Small", AA331&gt;Dash!$F$47, "Good"), "Norm")</f>
        <v>Big</v>
      </c>
      <c r="AC331">
        <v>715</v>
      </c>
      <c r="AD331" t="str">
        <f>_xlfn.IFNA(_xlfn.IFS(AC331&gt;Dash!$G$46, "Big", AC331&lt;Dash!$G$49, "Small", AC331&gt;Dash!$G$47, "Good"), "Norm")</f>
        <v>Big</v>
      </c>
      <c r="AE331">
        <v>294.5</v>
      </c>
      <c r="AF331" t="str">
        <f>_xlfn.IFNA(_xlfn.IFS(AE331&gt;Dash!$H$46, "Big", AE331&lt;Dash!$H$49, "Small", AE331&gt;Dash!$H$47, "Good"), "Norm")</f>
        <v>Big</v>
      </c>
      <c r="AG331">
        <v>116.5</v>
      </c>
      <c r="AH331" t="str">
        <f>_xlfn.IFNA(_xlfn.IFS(AG331&gt;Dash!$I$46, "Big", AG331&lt;Dash!$I$49, "Small", AG331&gt;Dash!$I$47, "Good"), "Norm")</f>
        <v>Big</v>
      </c>
    </row>
    <row r="332" spans="1:34" x14ac:dyDescent="0.25">
      <c r="A332" s="1">
        <v>45649</v>
      </c>
      <c r="B332" t="s">
        <v>23</v>
      </c>
      <c r="C332" t="s">
        <v>33</v>
      </c>
      <c r="D332">
        <v>1</v>
      </c>
      <c r="E332">
        <v>300</v>
      </c>
      <c r="J332" t="s">
        <v>34</v>
      </c>
      <c r="K332" t="s">
        <v>25</v>
      </c>
      <c r="L332" t="s">
        <v>35</v>
      </c>
      <c r="M332" t="s">
        <v>36</v>
      </c>
      <c r="N332">
        <v>1</v>
      </c>
      <c r="R332" t="s">
        <v>13</v>
      </c>
      <c r="S332" t="s">
        <v>28</v>
      </c>
      <c r="T332">
        <v>297</v>
      </c>
      <c r="U332" t="str">
        <f>_xlfn.IFNA(_xlfn.IFS(E332&gt;Dash!$D$46, "Big", E332&lt;Dash!$D$49, "Small", E332&gt;Dash!$D$47, "Good"), "Norm")</f>
        <v>Good</v>
      </c>
      <c r="V332" t="s">
        <v>20</v>
      </c>
      <c r="W332">
        <v>741.75</v>
      </c>
      <c r="X332" t="s">
        <v>38</v>
      </c>
      <c r="Y332">
        <v>176</v>
      </c>
      <c r="Z332" t="str">
        <f>_xlfn.IFNA(_xlfn.IFS(Y332&gt;Dash!$E$46, "Big", Y332&lt;Dash!$E$49, "Small", Y332&gt;Dash!$E$47, "Good"), "Norm")</f>
        <v>Big</v>
      </c>
      <c r="AA332">
        <v>162.75</v>
      </c>
      <c r="AB332" t="str">
        <f>_xlfn.IFNA(_xlfn.IFS(AA332&gt;Dash!$F$46, "Big", AA332&lt;Dash!$F$49, "Small", AA332&gt;Dash!$F$47, "Good"), "Norm")</f>
        <v>Big</v>
      </c>
      <c r="AC332">
        <v>219.25</v>
      </c>
      <c r="AD332" t="str">
        <f>_xlfn.IFNA(_xlfn.IFS(AC332&gt;Dash!$G$46, "Big", AC332&lt;Dash!$G$49, "Small", AC332&gt;Dash!$G$47, "Good"), "Norm")</f>
        <v>Good</v>
      </c>
      <c r="AE332">
        <v>134.5</v>
      </c>
      <c r="AF332" t="str">
        <f>_xlfn.IFNA(_xlfn.IFS(AE332&gt;Dash!$H$46, "Big", AE332&lt;Dash!$H$49, "Small", AE332&gt;Dash!$H$47, "Good"), "Norm")</f>
        <v>Norm</v>
      </c>
      <c r="AG332">
        <v>52.5</v>
      </c>
      <c r="AH332" t="str">
        <f>_xlfn.IFNA(_xlfn.IFS(AG332&gt;Dash!$I$46, "Big", AG332&lt;Dash!$I$49, "Small", AG332&gt;Dash!$I$47, "Good"), "Norm")</f>
        <v>Good</v>
      </c>
    </row>
    <row r="333" spans="1:34" x14ac:dyDescent="0.25">
      <c r="A333" s="1">
        <v>45650</v>
      </c>
      <c r="B333" t="s">
        <v>19</v>
      </c>
      <c r="C333" t="s">
        <v>13</v>
      </c>
      <c r="D333" t="s">
        <v>28</v>
      </c>
      <c r="E333">
        <v>297</v>
      </c>
      <c r="F333">
        <v>200</v>
      </c>
      <c r="G333">
        <v>200</v>
      </c>
      <c r="J333" t="s">
        <v>30</v>
      </c>
      <c r="K333" t="s">
        <v>31</v>
      </c>
      <c r="L333" t="s">
        <v>32</v>
      </c>
      <c r="M333" t="s">
        <v>36</v>
      </c>
      <c r="N333">
        <v>1</v>
      </c>
      <c r="R333" t="s">
        <v>24</v>
      </c>
      <c r="S333" t="s">
        <v>28</v>
      </c>
      <c r="T333">
        <v>206</v>
      </c>
      <c r="U333" t="str">
        <f>_xlfn.IFNA(_xlfn.IFS(E333&gt;Dash!$D$46, "Big", E333&lt;Dash!$D$49, "Small", E333&gt;Dash!$D$47, "Good"), "Norm")</f>
        <v>Good</v>
      </c>
      <c r="V333" t="s">
        <v>33</v>
      </c>
      <c r="W333">
        <v>300</v>
      </c>
      <c r="X333">
        <v>1</v>
      </c>
      <c r="Y333">
        <v>62</v>
      </c>
      <c r="Z333" t="str">
        <f>_xlfn.IFNA(_xlfn.IFS(Y333&gt;Dash!$E$46, "Big", Y333&lt;Dash!$E$49, "Small", Y333&gt;Dash!$E$47, "Good"), "Norm")</f>
        <v>Norm</v>
      </c>
      <c r="AA333">
        <v>68.25</v>
      </c>
      <c r="AB333" t="str">
        <f>_xlfn.IFNA(_xlfn.IFS(AA333&gt;Dash!$F$46, "Big", AA333&lt;Dash!$F$49, "Small", AA333&gt;Dash!$F$47, "Good"), "Norm")</f>
        <v>Norm</v>
      </c>
      <c r="AC333">
        <v>207.25</v>
      </c>
      <c r="AD333" t="str">
        <f>_xlfn.IFNA(_xlfn.IFS(AC333&gt;Dash!$G$46, "Big", AC333&lt;Dash!$G$49, "Small", AC333&gt;Dash!$G$47, "Good"), "Norm")</f>
        <v>Good</v>
      </c>
      <c r="AE333">
        <v>141.25</v>
      </c>
      <c r="AF333" t="str">
        <f>_xlfn.IFNA(_xlfn.IFS(AE333&gt;Dash!$H$46, "Big", AE333&lt;Dash!$H$49, "Small", AE333&gt;Dash!$H$47, "Good"), "Norm")</f>
        <v>Norm</v>
      </c>
      <c r="AG333">
        <v>41.75</v>
      </c>
      <c r="AH333" t="str">
        <f>_xlfn.IFNA(_xlfn.IFS(AG333&gt;Dash!$I$46, "Big", AG333&lt;Dash!$I$49, "Small", AG333&gt;Dash!$I$47, "Good"), "Norm")</f>
        <v>Good</v>
      </c>
    </row>
    <row r="334" spans="1:34" x14ac:dyDescent="0.25">
      <c r="A334" s="1">
        <v>45652</v>
      </c>
      <c r="B334" t="s">
        <v>36</v>
      </c>
      <c r="C334" t="s">
        <v>24</v>
      </c>
      <c r="D334" t="s">
        <v>28</v>
      </c>
      <c r="E334">
        <v>206</v>
      </c>
      <c r="F334">
        <v>1800</v>
      </c>
      <c r="G334">
        <v>1900</v>
      </c>
      <c r="J334" t="s">
        <v>29</v>
      </c>
      <c r="K334" t="s">
        <v>16</v>
      </c>
      <c r="L334" t="s">
        <v>25</v>
      </c>
      <c r="M334" t="s">
        <v>36</v>
      </c>
      <c r="N334">
        <v>1</v>
      </c>
      <c r="R334" t="s">
        <v>13</v>
      </c>
      <c r="S334" t="s">
        <v>14</v>
      </c>
      <c r="T334">
        <v>442</v>
      </c>
      <c r="U334" t="str">
        <f>_xlfn.IFNA(_xlfn.IFS(E334&gt;Dash!$D$46, "Big", E334&lt;Dash!$D$49, "Small", E334&gt;Dash!$D$47, "Good"), "Norm")</f>
        <v>Norm</v>
      </c>
      <c r="V334" t="s">
        <v>13</v>
      </c>
      <c r="W334">
        <v>297</v>
      </c>
      <c r="X334" t="s">
        <v>28</v>
      </c>
      <c r="Y334">
        <v>68</v>
      </c>
      <c r="Z334" t="str">
        <f>_xlfn.IFNA(_xlfn.IFS(Y334&gt;Dash!$E$46, "Big", Y334&lt;Dash!$E$49, "Small", Y334&gt;Dash!$E$47, "Good"), "Norm")</f>
        <v>Norm</v>
      </c>
      <c r="AA334">
        <v>189.25</v>
      </c>
      <c r="AB334" t="str">
        <f>_xlfn.IFNA(_xlfn.IFS(AA334&gt;Dash!$F$46, "Big", AA334&lt;Dash!$F$49, "Small", AA334&gt;Dash!$F$47, "Good"), "Norm")</f>
        <v>Big</v>
      </c>
      <c r="AC334">
        <v>170.25</v>
      </c>
      <c r="AD334" t="str">
        <f>_xlfn.IFNA(_xlfn.IFS(AC334&gt;Dash!$G$46, "Big", AC334&lt;Dash!$G$49, "Small", AC334&gt;Dash!$G$47, "Good"), "Norm")</f>
        <v>Norm</v>
      </c>
      <c r="AE334">
        <v>103.5</v>
      </c>
      <c r="AF334" t="str">
        <f>_xlfn.IFNA(_xlfn.IFS(AE334&gt;Dash!$H$46, "Big", AE334&lt;Dash!$H$49, "Small", AE334&gt;Dash!$H$47, "Good"), "Norm")</f>
        <v>Norm</v>
      </c>
      <c r="AG334">
        <v>31.25</v>
      </c>
      <c r="AH334" t="str">
        <f>_xlfn.IFNA(_xlfn.IFS(AG334&gt;Dash!$I$46, "Big", AG334&lt;Dash!$I$49, "Small", AG334&gt;Dash!$I$47, "Good"), "Norm")</f>
        <v>Norm</v>
      </c>
    </row>
    <row r="335" spans="1:34" x14ac:dyDescent="0.25">
      <c r="A335" s="1">
        <v>45653</v>
      </c>
      <c r="B335" t="s">
        <v>26</v>
      </c>
      <c r="C335" t="s">
        <v>13</v>
      </c>
      <c r="D335" t="s">
        <v>14</v>
      </c>
      <c r="E335">
        <v>442</v>
      </c>
      <c r="F335">
        <v>900</v>
      </c>
      <c r="J335" t="s">
        <v>27</v>
      </c>
      <c r="K335" t="s">
        <v>16</v>
      </c>
      <c r="L335" t="s">
        <v>17</v>
      </c>
      <c r="M335" t="s">
        <v>36</v>
      </c>
      <c r="N335">
        <v>1</v>
      </c>
      <c r="R335" t="s">
        <v>24</v>
      </c>
      <c r="S335" t="s">
        <v>14</v>
      </c>
      <c r="T335">
        <v>318</v>
      </c>
      <c r="U335" t="str">
        <f>_xlfn.IFNA(_xlfn.IFS(E335&gt;Dash!$D$46, "Big", E335&lt;Dash!$D$49, "Small", E335&gt;Dash!$D$47, "Good"), "Norm")</f>
        <v>Big</v>
      </c>
      <c r="V335" t="s">
        <v>24</v>
      </c>
      <c r="W335">
        <v>206</v>
      </c>
      <c r="X335" t="s">
        <v>28</v>
      </c>
      <c r="Y335">
        <v>82.25</v>
      </c>
      <c r="Z335" t="str">
        <f>_xlfn.IFNA(_xlfn.IFS(Y335&gt;Dash!$E$46, "Big", Y335&lt;Dash!$E$49, "Small", Y335&gt;Dash!$E$47, "Good"), "Norm")</f>
        <v>Good</v>
      </c>
      <c r="AA335">
        <v>57</v>
      </c>
      <c r="AB335" t="str">
        <f>_xlfn.IFNA(_xlfn.IFS(AA335&gt;Dash!$F$46, "Big", AA335&lt;Dash!$F$49, "Small", AA335&gt;Dash!$F$47, "Good"), "Norm")</f>
        <v>Small</v>
      </c>
      <c r="AC335">
        <v>433.75</v>
      </c>
      <c r="AD335" t="str">
        <f>_xlfn.IFNA(_xlfn.IFS(AC335&gt;Dash!$G$46, "Big", AC335&lt;Dash!$G$49, "Small", AC335&gt;Dash!$G$47, "Good"), "Norm")</f>
        <v>Big</v>
      </c>
      <c r="AE335">
        <v>217.75</v>
      </c>
      <c r="AF335" t="str">
        <f>_xlfn.IFNA(_xlfn.IFS(AE335&gt;Dash!$H$46, "Big", AE335&lt;Dash!$H$49, "Small", AE335&gt;Dash!$H$47, "Good"), "Norm")</f>
        <v>Good</v>
      </c>
      <c r="AG335">
        <v>69.25</v>
      </c>
      <c r="AH335" t="str">
        <f>_xlfn.IFNA(_xlfn.IFS(AG335&gt;Dash!$I$46, "Big", AG335&lt;Dash!$I$49, "Small", AG335&gt;Dash!$I$47, "Good"), "Norm")</f>
        <v>Good</v>
      </c>
    </row>
    <row r="336" spans="1:34" x14ac:dyDescent="0.25">
      <c r="A336" s="1">
        <v>45656</v>
      </c>
      <c r="B336" t="s">
        <v>23</v>
      </c>
      <c r="C336" t="s">
        <v>24</v>
      </c>
      <c r="D336" t="s">
        <v>14</v>
      </c>
      <c r="E336">
        <v>318</v>
      </c>
      <c r="F336">
        <v>700</v>
      </c>
      <c r="G336">
        <v>1200</v>
      </c>
      <c r="J336" t="s">
        <v>15</v>
      </c>
      <c r="K336" t="s">
        <v>16</v>
      </c>
      <c r="L336" t="s">
        <v>25</v>
      </c>
      <c r="M336" t="s">
        <v>36</v>
      </c>
      <c r="N336">
        <v>2</v>
      </c>
      <c r="R336" t="s">
        <v>20</v>
      </c>
      <c r="S336" t="s">
        <v>14</v>
      </c>
      <c r="T336">
        <v>317.5</v>
      </c>
      <c r="U336" t="str">
        <f>_xlfn.IFNA(_xlfn.IFS(E336&gt;Dash!$D$46, "Big", E336&lt;Dash!$D$49, "Small", E336&gt;Dash!$D$47, "Good"), "Norm")</f>
        <v>Good</v>
      </c>
      <c r="V336" t="s">
        <v>13</v>
      </c>
      <c r="W336">
        <v>442</v>
      </c>
      <c r="X336" t="s">
        <v>14</v>
      </c>
      <c r="Y336">
        <v>95.25</v>
      </c>
      <c r="Z336" t="str">
        <f>_xlfn.IFNA(_xlfn.IFS(Y336&gt;Dash!$E$46, "Big", Y336&lt;Dash!$E$49, "Small", Y336&gt;Dash!$E$47, "Good"), "Norm")</f>
        <v>Good</v>
      </c>
      <c r="AA336">
        <v>231.5</v>
      </c>
      <c r="AB336" t="str">
        <f>_xlfn.IFNA(_xlfn.IFS(AA336&gt;Dash!$F$46, "Big", AA336&lt;Dash!$F$49, "Small", AA336&gt;Dash!$F$47, "Good"), "Norm")</f>
        <v>Big</v>
      </c>
      <c r="AC336">
        <v>243</v>
      </c>
      <c r="AD336" t="str">
        <f>_xlfn.IFNA(_xlfn.IFS(AC336&gt;Dash!$G$46, "Big", AC336&lt;Dash!$G$49, "Small", AC336&gt;Dash!$G$47, "Good"), "Norm")</f>
        <v>Good</v>
      </c>
      <c r="AE336">
        <v>162.5</v>
      </c>
      <c r="AF336" t="str">
        <f>_xlfn.IFNA(_xlfn.IFS(AE336&gt;Dash!$H$46, "Big", AE336&lt;Dash!$H$49, "Small", AE336&gt;Dash!$H$47, "Good"), "Norm")</f>
        <v>Good</v>
      </c>
      <c r="AG336">
        <v>53.5</v>
      </c>
      <c r="AH336" t="str">
        <f>_xlfn.IFNA(_xlfn.IFS(AG336&gt;Dash!$I$46, "Big", AG336&lt;Dash!$I$49, "Small", AG336&gt;Dash!$I$47, "Good"), "Norm")</f>
        <v>Good</v>
      </c>
    </row>
    <row r="337" spans="1:34" x14ac:dyDescent="0.25">
      <c r="A337" s="1">
        <v>45657</v>
      </c>
      <c r="B337" t="s">
        <v>19</v>
      </c>
      <c r="C337" t="s">
        <v>20</v>
      </c>
      <c r="D337" t="s">
        <v>14</v>
      </c>
      <c r="E337">
        <v>317.5</v>
      </c>
      <c r="F337">
        <v>1200</v>
      </c>
      <c r="G337">
        <v>1200</v>
      </c>
      <c r="J337" t="s">
        <v>21</v>
      </c>
      <c r="K337" t="s">
        <v>22</v>
      </c>
      <c r="L337" t="s">
        <v>17</v>
      </c>
      <c r="M337" t="s">
        <v>36</v>
      </c>
      <c r="N337">
        <v>2</v>
      </c>
      <c r="R337">
        <v>0</v>
      </c>
      <c r="S337">
        <v>0</v>
      </c>
      <c r="T337">
        <v>0</v>
      </c>
      <c r="U337" t="str">
        <f>_xlfn.IFNA(_xlfn.IFS(E337&gt;Dash!$D$46, "Big", E337&lt;Dash!$D$49, "Small", E337&gt;Dash!$D$47, "Good"), "Norm")</f>
        <v>Good</v>
      </c>
      <c r="V337" t="s">
        <v>24</v>
      </c>
      <c r="W337">
        <v>318</v>
      </c>
      <c r="X337" t="s">
        <v>14</v>
      </c>
      <c r="Y337">
        <v>112.25</v>
      </c>
      <c r="Z337" t="str">
        <f>_xlfn.IFNA(_xlfn.IFS(Y337&gt;Dash!$E$46, "Big", Y337&lt;Dash!$E$49, "Small", Y337&gt;Dash!$E$47, "Good"), "Norm")</f>
        <v>Good</v>
      </c>
      <c r="AA337">
        <v>165.25</v>
      </c>
      <c r="AB337" t="str">
        <f>_xlfn.IFNA(_xlfn.IFS(AA337&gt;Dash!$F$46, "Big", AA337&lt;Dash!$F$49, "Small", AA337&gt;Dash!$F$47, "Good"), "Norm")</f>
        <v>Big</v>
      </c>
      <c r="AC337">
        <v>212.5</v>
      </c>
      <c r="AD337" t="str">
        <f>_xlfn.IFNA(_xlfn.IFS(AC337&gt;Dash!$G$46, "Big", AC337&lt;Dash!$G$49, "Small", AC337&gt;Dash!$G$47, "Good"), "Norm")</f>
        <v>Good</v>
      </c>
      <c r="AE337">
        <v>162</v>
      </c>
      <c r="AF337" t="str">
        <f>_xlfn.IFNA(_xlfn.IFS(AE337&gt;Dash!$H$46, "Big", AE337&lt;Dash!$H$49, "Small", AE337&gt;Dash!$H$47, "Good"), "Norm")</f>
        <v>Good</v>
      </c>
      <c r="AG337">
        <v>34.75</v>
      </c>
      <c r="AH337" t="str">
        <f>_xlfn.IFNA(_xlfn.IFS(AG337&gt;Dash!$I$46, "Big", AG337&lt;Dash!$I$49, "Small", AG337&gt;Dash!$I$47, "Good"), "Norm")</f>
        <v>Norm</v>
      </c>
    </row>
  </sheetData>
  <conditionalFormatting sqref="C1:C1048576">
    <cfRule type="containsText" dxfId="323" priority="53" operator="containsText" text="Lon Wall">
      <formula>NOT(ISERROR(SEARCH("Lon Wall",C1)))</formula>
    </cfRule>
    <cfRule type="containsText" dxfId="322" priority="52" operator="containsText" text="Screamer">
      <formula>NOT(ISERROR(SEARCH("Screamer",C1)))</formula>
    </cfRule>
    <cfRule type="containsText" dxfId="321" priority="51" operator="containsText" text="Lon Pivot">
      <formula>NOT(ISERROR(SEARCH("Lon Pivot",C1)))</formula>
    </cfRule>
    <cfRule type="containsText" dxfId="320" priority="50" operator="containsText" text="NY Z Day">
      <formula>NOT(ISERROR(SEARCH("NY Z Day",C1)))</formula>
    </cfRule>
    <cfRule type="containsText" dxfId="319" priority="54" operator="containsText" text="Asia Wall">
      <formula>NOT(ISERROR(SEARCH("Asia Wall",C1)))</formula>
    </cfRule>
  </conditionalFormatting>
  <conditionalFormatting sqref="F4:F1048576">
    <cfRule type="cellIs" dxfId="318" priority="16" operator="between">
      <formula>1100</formula>
      <formula>1500</formula>
    </cfRule>
    <cfRule type="cellIs" dxfId="317" priority="17" operator="between">
      <formula>800</formula>
      <formula>1000</formula>
    </cfRule>
    <cfRule type="cellIs" dxfId="316" priority="18" operator="between">
      <formula>199</formula>
      <formula>799</formula>
    </cfRule>
    <cfRule type="cellIs" dxfId="315" priority="19" operator="equal">
      <formula>100</formula>
    </cfRule>
    <cfRule type="cellIs" dxfId="314" priority="20" operator="greaterThanOrEqual">
      <formula>1800</formula>
    </cfRule>
  </conditionalFormatting>
  <conditionalFormatting sqref="M1:O1048576 B4:B1005">
    <cfRule type="containsText" dxfId="313" priority="42" operator="containsText" text="Wednesday">
      <formula>NOT(ISERROR(SEARCH("Wednesday",B1)))</formula>
    </cfRule>
    <cfRule type="containsText" dxfId="312" priority="41" operator="containsText" text="Thursday">
      <formula>NOT(ISERROR(SEARCH("Thursday",B1)))</formula>
    </cfRule>
    <cfRule type="containsText" dxfId="311" priority="40" operator="containsText" text="Friday">
      <formula>NOT(ISERROR(SEARCH("Friday",B1)))</formula>
    </cfRule>
    <cfRule type="containsText" dxfId="310" priority="43" operator="containsText" text="Tuesday">
      <formula>NOT(ISERROR(SEARCH("Tuesday",B1)))</formula>
    </cfRule>
    <cfRule type="containsText" dxfId="309" priority="44" operator="containsText" text="Monday">
      <formula>NOT(ISERROR(SEARCH("Monday",B1)))</formula>
    </cfRule>
  </conditionalFormatting>
  <conditionalFormatting sqref="P1:Q2 J1:L1048576">
    <cfRule type="containsText" dxfId="308" priority="60" operator="containsText" text="Lon">
      <formula>NOT(ISERROR(SEARCH("Lon",J1)))</formula>
    </cfRule>
    <cfRule type="containsText" dxfId="307" priority="59" operator="containsText" text="Asia">
      <formula>NOT(ISERROR(SEARCH("Asia",J1)))</formula>
    </cfRule>
    <cfRule type="containsText" dxfId="306" priority="58" operator="containsText" text="Inside">
      <formula>NOT(ISERROR(SEARCH("Inside",J1)))</formula>
    </cfRule>
    <cfRule type="containsText" dxfId="305" priority="57" operator="containsText" text="NYO">
      <formula>NOT(ISERROR(SEARCH("NYO",J1)))</formula>
    </cfRule>
    <cfRule type="containsText" dxfId="304" priority="56" operator="containsText" text="NYA">
      <formula>NOT(ISERROR(SEARCH("NYA",J1)))</formula>
    </cfRule>
    <cfRule type="containsText" dxfId="303" priority="55" operator="containsText" text="NYAH">
      <formula>NOT(ISERROR(SEARCH("NYAH",J1)))</formula>
    </cfRule>
  </conditionalFormatting>
  <conditionalFormatting sqref="R1:R2">
    <cfRule type="containsText" dxfId="302" priority="31" operator="containsText" text="Thursday">
      <formula>NOT(ISERROR(SEARCH("Thursday",R1)))</formula>
    </cfRule>
    <cfRule type="containsText" dxfId="301" priority="33" operator="containsText" text="Tuesday">
      <formula>NOT(ISERROR(SEARCH("Tuesday",R1)))</formula>
    </cfRule>
    <cfRule type="containsText" dxfId="300" priority="34" operator="containsText" text="Monday">
      <formula>NOT(ISERROR(SEARCH("Monday",R1)))</formula>
    </cfRule>
    <cfRule type="containsText" dxfId="299" priority="32" operator="containsText" text="Wednesday">
      <formula>NOT(ISERROR(SEARCH("Wednesday",R1)))</formula>
    </cfRule>
    <cfRule type="containsText" dxfId="298" priority="30" operator="containsText" text="Friday">
      <formula>NOT(ISERROR(SEARCH("Friday",R1)))</formula>
    </cfRule>
  </conditionalFormatting>
  <conditionalFormatting sqref="R4:R1233">
    <cfRule type="containsText" dxfId="297" priority="28" operator="containsText" text="Lon Wall">
      <formula>NOT(ISERROR(SEARCH("Lon Wall",R4)))</formula>
    </cfRule>
    <cfRule type="containsText" dxfId="296" priority="26" operator="containsText" text="Lon Pivot">
      <formula>NOT(ISERROR(SEARCH("Lon Pivot",R4)))</formula>
    </cfRule>
    <cfRule type="containsText" dxfId="295" priority="29" operator="containsText" text="Asia Wall">
      <formula>NOT(ISERROR(SEARCH("Asia Wall",R4)))</formula>
    </cfRule>
    <cfRule type="containsText" dxfId="294" priority="27" operator="containsText" text="Screamer">
      <formula>NOT(ISERROR(SEARCH("Screamer",R4)))</formula>
    </cfRule>
    <cfRule type="containsText" dxfId="293" priority="25" operator="containsText" text="NY Z Day">
      <formula>NOT(ISERROR(SEARCH("NY Z Day",R4)))</formula>
    </cfRule>
  </conditionalFormatting>
  <conditionalFormatting sqref="U4:U337">
    <cfRule type="cellIs" dxfId="292" priority="22" operator="equal">
      <formula>"Good"</formula>
    </cfRule>
  </conditionalFormatting>
  <conditionalFormatting sqref="U4:U1048576">
    <cfRule type="cellIs" dxfId="291" priority="24" operator="equal">
      <formula>"Small"</formula>
    </cfRule>
    <cfRule type="cellIs" dxfId="290" priority="23" operator="equal">
      <formula>"Big"</formula>
    </cfRule>
  </conditionalFormatting>
  <conditionalFormatting sqref="Z4:Z1055">
    <cfRule type="cellIs" dxfId="289" priority="13" operator="equal">
      <formula>"Good"</formula>
    </cfRule>
    <cfRule type="cellIs" dxfId="288" priority="15" operator="equal">
      <formula>"Small"</formula>
    </cfRule>
    <cfRule type="cellIs" dxfId="287" priority="14" operator="equal">
      <formula>"Big"</formula>
    </cfRule>
  </conditionalFormatting>
  <conditionalFormatting sqref="AB4:AB1055">
    <cfRule type="cellIs" dxfId="286" priority="12" operator="equal">
      <formula>"Small"</formula>
    </cfRule>
    <cfRule type="cellIs" dxfId="285" priority="11" operator="equal">
      <formula>"Big"</formula>
    </cfRule>
    <cfRule type="cellIs" dxfId="284" priority="10" operator="equal">
      <formula>"Good"</formula>
    </cfRule>
  </conditionalFormatting>
  <conditionalFormatting sqref="AD4:AD1055">
    <cfRule type="cellIs" dxfId="283" priority="7" operator="equal">
      <formula>"Good"</formula>
    </cfRule>
    <cfRule type="cellIs" dxfId="282" priority="9" operator="equal">
      <formula>"Small"</formula>
    </cfRule>
    <cfRule type="cellIs" dxfId="281" priority="8" operator="equal">
      <formula>"Big"</formula>
    </cfRule>
  </conditionalFormatting>
  <conditionalFormatting sqref="AF4:AF1050">
    <cfRule type="cellIs" dxfId="280" priority="6" operator="equal">
      <formula>"Small"</formula>
    </cfRule>
    <cfRule type="cellIs" dxfId="279" priority="5" operator="equal">
      <formula>"Big"</formula>
    </cfRule>
    <cfRule type="cellIs" dxfId="278" priority="4" operator="equal">
      <formula>"Good"</formula>
    </cfRule>
  </conditionalFormatting>
  <conditionalFormatting sqref="AH4:AH1055">
    <cfRule type="cellIs" dxfId="277" priority="2" operator="equal">
      <formula>"Big"</formula>
    </cfRule>
    <cfRule type="cellIs" dxfId="276" priority="3" operator="equal">
      <formula>"Small"</formula>
    </cfRule>
    <cfRule type="cellIs" dxfId="275" priority="1" operator="equal">
      <formula>"Good"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9E917-A0A3-47CE-9159-891F369C300B}">
  <dimension ref="A1:X40"/>
  <sheetViews>
    <sheetView topLeftCell="C20" workbookViewId="0">
      <selection sqref="A1:XFD2"/>
    </sheetView>
  </sheetViews>
  <sheetFormatPr defaultRowHeight="15" x14ac:dyDescent="0.25"/>
  <cols>
    <col min="1" max="1" width="10.42578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45338</v>
      </c>
      <c r="B4" t="s">
        <v>26</v>
      </c>
      <c r="C4" t="s">
        <v>41</v>
      </c>
      <c r="D4" t="s">
        <v>48</v>
      </c>
      <c r="E4">
        <v>292.75</v>
      </c>
      <c r="F4">
        <v>200</v>
      </c>
      <c r="G4">
        <v>800</v>
      </c>
      <c r="H4">
        <v>900</v>
      </c>
      <c r="I4">
        <v>1000</v>
      </c>
      <c r="J4" t="s">
        <v>30</v>
      </c>
      <c r="K4" t="s">
        <v>22</v>
      </c>
      <c r="L4" t="s">
        <v>25</v>
      </c>
      <c r="M4" t="s">
        <v>19</v>
      </c>
      <c r="N4">
        <v>10</v>
      </c>
      <c r="O4" t="s">
        <v>61</v>
      </c>
      <c r="R4" t="s">
        <v>13</v>
      </c>
      <c r="S4" t="s">
        <v>14</v>
      </c>
      <c r="T4">
        <v>271.5</v>
      </c>
      <c r="U4" t="str">
        <f>_xlfn.IFNA(_xlfn.IFS(E4&gt;Dash!$D$46, "Big", E4&lt;Dash!$D$49, "Small", E4&gt;Dash!$D$47, "Good"), "Norm")</f>
        <v>Good</v>
      </c>
      <c r="V4" t="s">
        <v>33</v>
      </c>
      <c r="W4">
        <v>153</v>
      </c>
      <c r="X4" t="s">
        <v>28</v>
      </c>
    </row>
    <row r="5" spans="1:24" x14ac:dyDescent="0.25">
      <c r="A5" s="1">
        <v>45383</v>
      </c>
      <c r="B5" t="s">
        <v>109</v>
      </c>
      <c r="C5" t="s">
        <v>13</v>
      </c>
      <c r="D5" t="s">
        <v>48</v>
      </c>
      <c r="E5">
        <v>192.5</v>
      </c>
      <c r="F5">
        <v>1800</v>
      </c>
      <c r="G5">
        <v>800</v>
      </c>
      <c r="H5">
        <v>1100</v>
      </c>
      <c r="I5">
        <v>1200</v>
      </c>
      <c r="J5" t="s">
        <v>29</v>
      </c>
      <c r="K5" t="s">
        <v>16</v>
      </c>
      <c r="L5" t="s">
        <v>17</v>
      </c>
      <c r="M5" t="s">
        <v>23</v>
      </c>
      <c r="N5">
        <v>9</v>
      </c>
      <c r="R5" t="s">
        <v>41</v>
      </c>
      <c r="S5" t="s">
        <v>14</v>
      </c>
      <c r="T5">
        <v>213</v>
      </c>
      <c r="U5" t="str">
        <f>_xlfn.IFNA(_xlfn.IFS(E5&gt;Dash!$D$46, "Big", E5&lt;Dash!$D$49, "Small", E5&gt;Dash!$D$47, "Good"), "Norm")</f>
        <v>Norm</v>
      </c>
      <c r="V5" t="s">
        <v>33</v>
      </c>
      <c r="W5">
        <v>90</v>
      </c>
      <c r="X5">
        <v>1</v>
      </c>
    </row>
    <row r="6" spans="1:24" x14ac:dyDescent="0.25">
      <c r="A6" s="1">
        <v>45386</v>
      </c>
      <c r="B6" t="s">
        <v>36</v>
      </c>
      <c r="C6" t="s">
        <v>33</v>
      </c>
      <c r="D6" t="s">
        <v>48</v>
      </c>
      <c r="E6">
        <v>498.75</v>
      </c>
      <c r="F6">
        <v>1900</v>
      </c>
      <c r="G6">
        <v>1900</v>
      </c>
      <c r="J6" t="s">
        <v>29</v>
      </c>
      <c r="K6" t="s">
        <v>35</v>
      </c>
      <c r="L6" t="s">
        <v>17</v>
      </c>
      <c r="M6" t="s">
        <v>23</v>
      </c>
      <c r="N6">
        <v>9</v>
      </c>
      <c r="R6" t="s">
        <v>33</v>
      </c>
      <c r="S6" t="s">
        <v>46</v>
      </c>
      <c r="T6">
        <v>356.75</v>
      </c>
      <c r="U6" t="str">
        <f>_xlfn.IFNA(_xlfn.IFS(E6&gt;Dash!$D$46, "Big", E6&lt;Dash!$D$49, "Small", E6&gt;Dash!$D$47, "Good"), "Norm")</f>
        <v>Big</v>
      </c>
      <c r="V6" t="s">
        <v>33</v>
      </c>
      <c r="W6">
        <v>219.25</v>
      </c>
      <c r="X6">
        <v>1</v>
      </c>
    </row>
    <row r="7" spans="1:24" x14ac:dyDescent="0.25">
      <c r="A7" s="1">
        <v>45392</v>
      </c>
      <c r="B7" t="s">
        <v>18</v>
      </c>
      <c r="C7" t="s">
        <v>33</v>
      </c>
      <c r="D7" t="s">
        <v>48</v>
      </c>
      <c r="E7">
        <v>420.75</v>
      </c>
      <c r="F7">
        <v>400</v>
      </c>
      <c r="G7">
        <v>400</v>
      </c>
      <c r="H7">
        <v>800</v>
      </c>
      <c r="J7" t="s">
        <v>30</v>
      </c>
      <c r="K7" t="s">
        <v>35</v>
      </c>
      <c r="L7" t="s">
        <v>25</v>
      </c>
      <c r="M7" t="s">
        <v>18</v>
      </c>
      <c r="N7">
        <v>9</v>
      </c>
      <c r="R7" t="s">
        <v>33</v>
      </c>
      <c r="S7" t="s">
        <v>28</v>
      </c>
      <c r="T7">
        <v>430.75</v>
      </c>
      <c r="U7" t="str">
        <f>_xlfn.IFNA(_xlfn.IFS(E7&gt;Dash!$D$46, "Big", E7&lt;Dash!$D$49, "Small", E7&gt;Dash!$D$47, "Good"), "Norm")</f>
        <v>Big</v>
      </c>
      <c r="V7" t="s">
        <v>33</v>
      </c>
      <c r="W7">
        <v>244.25</v>
      </c>
      <c r="X7" t="s">
        <v>53</v>
      </c>
    </row>
    <row r="8" spans="1:24" x14ac:dyDescent="0.25">
      <c r="A8" s="1">
        <v>45435</v>
      </c>
      <c r="B8" t="s">
        <v>36</v>
      </c>
      <c r="C8" t="s">
        <v>33</v>
      </c>
      <c r="D8" t="s">
        <v>48</v>
      </c>
      <c r="E8">
        <v>401.75</v>
      </c>
      <c r="F8">
        <v>2100</v>
      </c>
      <c r="G8">
        <v>900</v>
      </c>
      <c r="H8">
        <v>1400</v>
      </c>
      <c r="I8">
        <v>1500</v>
      </c>
      <c r="J8" t="s">
        <v>29</v>
      </c>
      <c r="K8" t="s">
        <v>35</v>
      </c>
      <c r="L8" t="s">
        <v>17</v>
      </c>
      <c r="M8" t="s">
        <v>18</v>
      </c>
      <c r="N8">
        <v>5</v>
      </c>
      <c r="R8" t="s">
        <v>13</v>
      </c>
      <c r="S8">
        <v>1</v>
      </c>
      <c r="T8">
        <v>202.5</v>
      </c>
      <c r="U8" t="str">
        <f>_xlfn.IFNA(_xlfn.IFS(E8&gt;Dash!$D$46, "Big", E8&lt;Dash!$D$49, "Small", E8&gt;Dash!$D$47, "Good"), "Norm")</f>
        <v>Good</v>
      </c>
      <c r="V8" t="s">
        <v>33</v>
      </c>
      <c r="W8">
        <v>154.5</v>
      </c>
      <c r="X8" t="s">
        <v>28</v>
      </c>
    </row>
    <row r="9" spans="1:24" x14ac:dyDescent="0.25">
      <c r="A9" s="1">
        <v>45450</v>
      </c>
      <c r="B9" t="s">
        <v>26</v>
      </c>
      <c r="C9" t="s">
        <v>33</v>
      </c>
      <c r="D9" t="s">
        <v>48</v>
      </c>
      <c r="E9">
        <v>215</v>
      </c>
      <c r="F9">
        <v>800</v>
      </c>
      <c r="G9">
        <v>900</v>
      </c>
      <c r="H9">
        <v>1200</v>
      </c>
      <c r="I9">
        <v>1300</v>
      </c>
      <c r="J9" t="s">
        <v>27</v>
      </c>
      <c r="K9" t="s">
        <v>25</v>
      </c>
      <c r="L9" t="s">
        <v>32</v>
      </c>
      <c r="M9" t="s">
        <v>23</v>
      </c>
      <c r="N9">
        <v>9</v>
      </c>
      <c r="R9" t="s">
        <v>20</v>
      </c>
      <c r="S9">
        <v>1</v>
      </c>
      <c r="T9">
        <v>152</v>
      </c>
      <c r="U9" t="str">
        <f>_xlfn.IFNA(_xlfn.IFS(E9&gt;Dash!$D$46, "Big", E9&lt;Dash!$D$49, "Small", E9&gt;Dash!$D$47, "Good"), "Norm")</f>
        <v>Norm</v>
      </c>
      <c r="V9" t="s">
        <v>33</v>
      </c>
      <c r="W9">
        <v>107.25</v>
      </c>
      <c r="X9" t="s">
        <v>43</v>
      </c>
    </row>
    <row r="10" spans="1:24" x14ac:dyDescent="0.25">
      <c r="A10" s="1">
        <v>45463</v>
      </c>
      <c r="B10" t="s">
        <v>110</v>
      </c>
      <c r="C10" t="s">
        <v>20</v>
      </c>
      <c r="D10" t="s">
        <v>48</v>
      </c>
      <c r="E10">
        <v>347.5</v>
      </c>
      <c r="F10">
        <v>2100</v>
      </c>
      <c r="G10">
        <v>800</v>
      </c>
      <c r="H10">
        <v>1000</v>
      </c>
      <c r="I10">
        <v>1000</v>
      </c>
      <c r="J10" t="s">
        <v>29</v>
      </c>
      <c r="K10" t="s">
        <v>22</v>
      </c>
      <c r="L10" t="s">
        <v>17</v>
      </c>
      <c r="M10" t="s">
        <v>19</v>
      </c>
      <c r="N10">
        <v>7</v>
      </c>
      <c r="R10" t="s">
        <v>41</v>
      </c>
      <c r="S10" t="s">
        <v>46</v>
      </c>
      <c r="T10">
        <v>158.5</v>
      </c>
      <c r="U10" t="str">
        <f>_xlfn.IFNA(_xlfn.IFS(E10&gt;Dash!$D$46, "Big", E10&lt;Dash!$D$49, "Small", E10&gt;Dash!$D$47, "Good"), "Norm")</f>
        <v>Good</v>
      </c>
      <c r="V10" t="s">
        <v>33</v>
      </c>
      <c r="W10">
        <v>143.5</v>
      </c>
      <c r="X10">
        <v>1</v>
      </c>
    </row>
    <row r="11" spans="1:24" x14ac:dyDescent="0.25">
      <c r="A11" s="1">
        <v>45484</v>
      </c>
      <c r="B11" t="s">
        <v>36</v>
      </c>
      <c r="C11" t="s">
        <v>33</v>
      </c>
      <c r="D11" t="s">
        <v>48</v>
      </c>
      <c r="E11">
        <v>606.5</v>
      </c>
      <c r="F11">
        <v>800</v>
      </c>
      <c r="G11">
        <v>800</v>
      </c>
      <c r="H11">
        <v>1000</v>
      </c>
      <c r="J11" t="s">
        <v>27</v>
      </c>
      <c r="K11" t="s">
        <v>35</v>
      </c>
      <c r="L11" t="s">
        <v>17</v>
      </c>
      <c r="M11" t="s">
        <v>19</v>
      </c>
      <c r="N11">
        <v>9</v>
      </c>
      <c r="R11" t="s">
        <v>33</v>
      </c>
      <c r="S11" t="s">
        <v>46</v>
      </c>
      <c r="T11">
        <v>406</v>
      </c>
      <c r="U11" t="str">
        <f>_xlfn.IFNA(_xlfn.IFS(E11&gt;Dash!$D$46, "Big", E11&lt;Dash!$D$49, "Small", E11&gt;Dash!$D$47, "Good"), "Norm")</f>
        <v>Big</v>
      </c>
      <c r="V11" t="s">
        <v>13</v>
      </c>
      <c r="W11">
        <v>213.75</v>
      </c>
      <c r="X11" t="s">
        <v>28</v>
      </c>
    </row>
    <row r="12" spans="1:24" x14ac:dyDescent="0.25">
      <c r="A12" s="1">
        <v>45505</v>
      </c>
      <c r="B12" t="s">
        <v>36</v>
      </c>
      <c r="C12" t="s">
        <v>13</v>
      </c>
      <c r="D12" t="s">
        <v>48</v>
      </c>
      <c r="E12">
        <v>813.75</v>
      </c>
      <c r="F12">
        <v>1900</v>
      </c>
      <c r="G12">
        <v>2000</v>
      </c>
      <c r="J12" t="s">
        <v>29</v>
      </c>
      <c r="K12" t="s">
        <v>16</v>
      </c>
      <c r="L12" t="s">
        <v>42</v>
      </c>
      <c r="M12" t="s">
        <v>19</v>
      </c>
      <c r="N12">
        <v>13</v>
      </c>
      <c r="O12" t="s">
        <v>73</v>
      </c>
      <c r="R12" t="s">
        <v>24</v>
      </c>
      <c r="S12" t="s">
        <v>14</v>
      </c>
      <c r="T12">
        <v>375.75</v>
      </c>
      <c r="U12" t="str">
        <f>_xlfn.IFNA(_xlfn.IFS(E12&gt;Dash!$D$46, "Big", E12&lt;Dash!$D$49, "Small", E12&gt;Dash!$D$47, "Good"), "Norm")</f>
        <v>Big</v>
      </c>
      <c r="V12" t="s">
        <v>13</v>
      </c>
      <c r="W12">
        <v>327.5</v>
      </c>
      <c r="X12" t="s">
        <v>28</v>
      </c>
    </row>
    <row r="13" spans="1:24" x14ac:dyDescent="0.25">
      <c r="A13" s="1">
        <v>45511</v>
      </c>
      <c r="B13" t="s">
        <v>18</v>
      </c>
      <c r="C13" t="s">
        <v>33</v>
      </c>
      <c r="D13" t="s">
        <v>48</v>
      </c>
      <c r="E13">
        <v>606.75</v>
      </c>
      <c r="F13">
        <v>900</v>
      </c>
      <c r="G13">
        <v>1100</v>
      </c>
      <c r="J13" t="s">
        <v>27</v>
      </c>
      <c r="K13" t="s">
        <v>35</v>
      </c>
      <c r="L13" t="s">
        <v>42</v>
      </c>
      <c r="M13" t="s">
        <v>23</v>
      </c>
      <c r="N13">
        <v>2</v>
      </c>
      <c r="R13" t="s">
        <v>13</v>
      </c>
      <c r="S13" t="s">
        <v>38</v>
      </c>
      <c r="T13">
        <v>597.25</v>
      </c>
      <c r="U13" t="str">
        <f>_xlfn.IFNA(_xlfn.IFS(E13&gt;Dash!$D$46, "Big", E13&lt;Dash!$D$49, "Small", E13&gt;Dash!$D$47, "Good"), "Norm")</f>
        <v>Big</v>
      </c>
      <c r="V13" t="s">
        <v>33</v>
      </c>
      <c r="W13">
        <v>517.25</v>
      </c>
      <c r="X13" t="s">
        <v>43</v>
      </c>
    </row>
    <row r="14" spans="1:24" x14ac:dyDescent="0.25">
      <c r="A14" s="1">
        <v>45526</v>
      </c>
      <c r="B14" t="s">
        <v>36</v>
      </c>
      <c r="C14" t="s">
        <v>33</v>
      </c>
      <c r="D14" t="s">
        <v>48</v>
      </c>
      <c r="E14">
        <v>483.25</v>
      </c>
      <c r="F14">
        <v>700</v>
      </c>
      <c r="G14">
        <v>700</v>
      </c>
      <c r="H14">
        <v>1100</v>
      </c>
      <c r="J14" t="s">
        <v>30</v>
      </c>
      <c r="K14" t="s">
        <v>35</v>
      </c>
      <c r="L14" t="s">
        <v>17</v>
      </c>
      <c r="M14" t="s">
        <v>18</v>
      </c>
      <c r="N14">
        <v>6</v>
      </c>
      <c r="R14" t="s">
        <v>33</v>
      </c>
      <c r="S14">
        <v>1</v>
      </c>
      <c r="T14">
        <v>312.5</v>
      </c>
      <c r="U14" t="str">
        <f>_xlfn.IFNA(_xlfn.IFS(E14&gt;Dash!$D$46, "Big", E14&lt;Dash!$D$49, "Small", E14&gt;Dash!$D$47, "Good"), "Norm")</f>
        <v>Big</v>
      </c>
      <c r="V14" t="s">
        <v>33</v>
      </c>
      <c r="W14">
        <v>210.25</v>
      </c>
      <c r="X14" t="s">
        <v>28</v>
      </c>
    </row>
    <row r="15" spans="1:24" x14ac:dyDescent="0.25">
      <c r="A15" s="1">
        <v>45538</v>
      </c>
      <c r="B15" t="s">
        <v>107</v>
      </c>
      <c r="C15" t="s">
        <v>13</v>
      </c>
      <c r="D15" t="s">
        <v>48</v>
      </c>
      <c r="E15">
        <v>611.25</v>
      </c>
      <c r="F15">
        <v>1800</v>
      </c>
      <c r="G15">
        <v>1900</v>
      </c>
      <c r="H15">
        <v>900</v>
      </c>
      <c r="J15" t="s">
        <v>29</v>
      </c>
      <c r="K15" t="s">
        <v>16</v>
      </c>
      <c r="L15" t="s">
        <v>17</v>
      </c>
      <c r="M15" t="s">
        <v>19</v>
      </c>
      <c r="N15">
        <v>9</v>
      </c>
      <c r="R15" t="s">
        <v>24</v>
      </c>
      <c r="S15" t="s">
        <v>46</v>
      </c>
      <c r="T15">
        <v>276.5</v>
      </c>
      <c r="U15" t="str">
        <f>_xlfn.IFNA(_xlfn.IFS(E15&gt;Dash!$D$46, "Big", E15&lt;Dash!$D$49, "Small", E15&gt;Dash!$D$47, "Good"), "Norm")</f>
        <v>Big</v>
      </c>
      <c r="V15" t="s">
        <v>33</v>
      </c>
      <c r="W15">
        <v>262.25</v>
      </c>
      <c r="X15">
        <v>1</v>
      </c>
    </row>
    <row r="16" spans="1:24" x14ac:dyDescent="0.25">
      <c r="A16" s="1">
        <v>45553</v>
      </c>
      <c r="B16" t="s">
        <v>18</v>
      </c>
      <c r="C16" t="s">
        <v>33</v>
      </c>
      <c r="D16" t="s">
        <v>48</v>
      </c>
      <c r="E16">
        <v>342</v>
      </c>
      <c r="F16">
        <v>1400</v>
      </c>
      <c r="G16">
        <v>1500</v>
      </c>
      <c r="J16" t="s">
        <v>49</v>
      </c>
      <c r="K16" t="s">
        <v>32</v>
      </c>
      <c r="L16" t="s">
        <v>17</v>
      </c>
      <c r="M16" t="s">
        <v>19</v>
      </c>
      <c r="N16">
        <v>7</v>
      </c>
      <c r="R16" t="s">
        <v>13</v>
      </c>
      <c r="S16" t="s">
        <v>28</v>
      </c>
      <c r="T16">
        <v>239</v>
      </c>
      <c r="U16" t="str">
        <f>_xlfn.IFNA(_xlfn.IFS(E16&gt;Dash!$D$46, "Big", E16&lt;Dash!$D$49, "Small", E16&gt;Dash!$D$47, "Good"), "Norm")</f>
        <v>Good</v>
      </c>
      <c r="V16" t="s">
        <v>33</v>
      </c>
      <c r="W16">
        <v>275.75</v>
      </c>
      <c r="X16" t="s">
        <v>28</v>
      </c>
    </row>
    <row r="17" spans="1:24" x14ac:dyDescent="0.25">
      <c r="A17" s="1">
        <v>45566</v>
      </c>
      <c r="B17" t="s">
        <v>19</v>
      </c>
      <c r="C17" t="s">
        <v>24</v>
      </c>
      <c r="D17" t="s">
        <v>48</v>
      </c>
      <c r="E17">
        <v>468.5</v>
      </c>
      <c r="F17">
        <v>2100</v>
      </c>
      <c r="G17">
        <v>2300</v>
      </c>
      <c r="H17">
        <v>900</v>
      </c>
      <c r="J17" t="s">
        <v>29</v>
      </c>
      <c r="K17" t="s">
        <v>16</v>
      </c>
      <c r="L17" t="s">
        <v>25</v>
      </c>
      <c r="M17" t="s">
        <v>23</v>
      </c>
      <c r="N17">
        <v>9</v>
      </c>
      <c r="R17" t="s">
        <v>33</v>
      </c>
      <c r="S17">
        <v>1</v>
      </c>
      <c r="T17">
        <v>256.75</v>
      </c>
      <c r="U17" t="str">
        <f>_xlfn.IFNA(_xlfn.IFS(E17&gt;Dash!$D$46, "Big", E17&lt;Dash!$D$49, "Small", E17&gt;Dash!$D$47, "Good"), "Norm")</f>
        <v>Big</v>
      </c>
      <c r="V17" t="s">
        <v>13</v>
      </c>
      <c r="W17">
        <v>230.75</v>
      </c>
      <c r="X17" t="s">
        <v>46</v>
      </c>
    </row>
    <row r="18" spans="1:24" x14ac:dyDescent="0.25">
      <c r="A18" s="1">
        <v>45607</v>
      </c>
      <c r="B18" t="s">
        <v>23</v>
      </c>
      <c r="C18" t="s">
        <v>33</v>
      </c>
      <c r="D18" t="s">
        <v>48</v>
      </c>
      <c r="E18">
        <v>242.5</v>
      </c>
      <c r="F18">
        <v>1800</v>
      </c>
      <c r="G18">
        <v>900</v>
      </c>
      <c r="H18">
        <v>1300</v>
      </c>
      <c r="I18">
        <v>1300</v>
      </c>
      <c r="J18" t="s">
        <v>29</v>
      </c>
      <c r="K18" t="s">
        <v>35</v>
      </c>
      <c r="L18" t="s">
        <v>17</v>
      </c>
      <c r="M18" t="s">
        <v>18</v>
      </c>
      <c r="N18">
        <v>9</v>
      </c>
      <c r="R18" t="s">
        <v>33</v>
      </c>
      <c r="S18" t="s">
        <v>14</v>
      </c>
      <c r="T18">
        <v>197</v>
      </c>
      <c r="U18" t="str">
        <f>_xlfn.IFNA(_xlfn.IFS(E18&gt;Dash!$D$46, "Big", E18&lt;Dash!$D$49, "Small", E18&gt;Dash!$D$47, "Good"), "Norm")</f>
        <v>Norm</v>
      </c>
      <c r="V18" t="s">
        <v>20</v>
      </c>
      <c r="W18">
        <v>108.75</v>
      </c>
      <c r="X18" t="s">
        <v>28</v>
      </c>
    </row>
    <row r="19" spans="1:24" x14ac:dyDescent="0.25">
      <c r="A19" s="1">
        <v>45610</v>
      </c>
      <c r="B19" t="s">
        <v>36</v>
      </c>
      <c r="C19" t="s">
        <v>20</v>
      </c>
      <c r="D19" t="s">
        <v>48</v>
      </c>
      <c r="E19">
        <v>205.5</v>
      </c>
      <c r="F19">
        <v>1800</v>
      </c>
      <c r="G19">
        <v>1800</v>
      </c>
      <c r="H19">
        <v>1000</v>
      </c>
      <c r="I19">
        <v>1000</v>
      </c>
      <c r="J19" t="s">
        <v>45</v>
      </c>
      <c r="K19" t="s">
        <v>22</v>
      </c>
      <c r="L19" t="s">
        <v>42</v>
      </c>
      <c r="M19" t="s">
        <v>18</v>
      </c>
      <c r="N19">
        <v>9</v>
      </c>
      <c r="R19" t="s">
        <v>13</v>
      </c>
      <c r="S19" t="s">
        <v>14</v>
      </c>
      <c r="T19">
        <v>458.75</v>
      </c>
      <c r="U19" t="str">
        <f>_xlfn.IFNA(_xlfn.IFS(E19&gt;Dash!$D$46, "Big", E19&lt;Dash!$D$49, "Small", E19&gt;Dash!$D$47, "Good"), "Norm")</f>
        <v>Norm</v>
      </c>
      <c r="V19" t="s">
        <v>33</v>
      </c>
      <c r="W19">
        <v>212</v>
      </c>
      <c r="X19" t="s">
        <v>43</v>
      </c>
    </row>
    <row r="20" spans="1:24" x14ac:dyDescent="0.25">
      <c r="A20" s="1">
        <v>45257</v>
      </c>
      <c r="B20" t="s">
        <v>23</v>
      </c>
      <c r="C20" t="s">
        <v>13</v>
      </c>
      <c r="D20" t="s">
        <v>52</v>
      </c>
      <c r="E20">
        <v>119</v>
      </c>
      <c r="F20">
        <v>1900</v>
      </c>
      <c r="G20">
        <v>200</v>
      </c>
      <c r="H20">
        <v>1300</v>
      </c>
      <c r="J20" t="s">
        <v>37</v>
      </c>
      <c r="K20" t="s">
        <v>31</v>
      </c>
      <c r="L20" t="s">
        <v>32</v>
      </c>
      <c r="M20" t="s">
        <v>19</v>
      </c>
      <c r="N20">
        <v>8</v>
      </c>
      <c r="P20">
        <v>1300</v>
      </c>
      <c r="Q20">
        <v>1400</v>
      </c>
      <c r="R20" t="s">
        <v>33</v>
      </c>
      <c r="S20">
        <v>1</v>
      </c>
      <c r="T20">
        <v>126</v>
      </c>
      <c r="U20" t="str">
        <f>_xlfn.IFNA(_xlfn.IFS(E20&gt;Dash!$D$46, "Big", E20&lt;Dash!$D$49, "Small", E20&gt;Dash!$D$47, "Good"), "Norm")</f>
        <v>Small</v>
      </c>
      <c r="V20" t="s">
        <v>24</v>
      </c>
      <c r="W20">
        <v>87.5</v>
      </c>
      <c r="X20">
        <v>1</v>
      </c>
    </row>
    <row r="21" spans="1:24" x14ac:dyDescent="0.25">
      <c r="A21" s="1">
        <v>45546</v>
      </c>
      <c r="B21" t="s">
        <v>18</v>
      </c>
      <c r="C21" t="s">
        <v>33</v>
      </c>
      <c r="D21" t="s">
        <v>52</v>
      </c>
      <c r="E21">
        <v>746.5</v>
      </c>
      <c r="F21">
        <v>900</v>
      </c>
      <c r="G21">
        <v>900</v>
      </c>
      <c r="H21">
        <v>1000</v>
      </c>
      <c r="I21">
        <v>1000</v>
      </c>
      <c r="J21" t="s">
        <v>27</v>
      </c>
      <c r="K21" t="s">
        <v>25</v>
      </c>
      <c r="L21" t="s">
        <v>32</v>
      </c>
      <c r="M21" t="s">
        <v>18</v>
      </c>
      <c r="N21">
        <v>6</v>
      </c>
      <c r="R21" t="s">
        <v>33</v>
      </c>
      <c r="S21" t="s">
        <v>28</v>
      </c>
      <c r="T21">
        <v>298.5</v>
      </c>
      <c r="U21" t="str">
        <f>_xlfn.IFNA(_xlfn.IFS(E21&gt;Dash!$D$46, "Big", E21&lt;Dash!$D$49, "Small", E21&gt;Dash!$D$47, "Good"), "Norm")</f>
        <v>Big</v>
      </c>
      <c r="V21" t="s">
        <v>20</v>
      </c>
      <c r="W21">
        <v>288.75</v>
      </c>
      <c r="X21" t="s">
        <v>28</v>
      </c>
    </row>
    <row r="22" spans="1:24" x14ac:dyDescent="0.25">
      <c r="A22" s="1">
        <v>45205</v>
      </c>
      <c r="B22" t="s">
        <v>26</v>
      </c>
      <c r="C22" t="s">
        <v>33</v>
      </c>
      <c r="D22" t="s">
        <v>38</v>
      </c>
      <c r="E22">
        <v>500.25</v>
      </c>
      <c r="F22">
        <v>800</v>
      </c>
      <c r="G22">
        <v>900</v>
      </c>
      <c r="H22">
        <v>1100</v>
      </c>
      <c r="J22" t="s">
        <v>45</v>
      </c>
      <c r="K22" t="s">
        <v>25</v>
      </c>
      <c r="L22" t="s">
        <v>35</v>
      </c>
      <c r="M22" t="s">
        <v>23</v>
      </c>
      <c r="N22">
        <v>9</v>
      </c>
      <c r="P22">
        <v>800</v>
      </c>
      <c r="Q22">
        <v>1500</v>
      </c>
      <c r="R22" t="s">
        <v>33</v>
      </c>
      <c r="S22" t="s">
        <v>28</v>
      </c>
      <c r="T22">
        <v>263.25</v>
      </c>
      <c r="U22" t="str">
        <f>_xlfn.IFNA(_xlfn.IFS(E22&gt;Dash!$D$46, "Big", E22&lt;Dash!$D$49, "Small", E22&gt;Dash!$D$47, "Good"), "Norm")</f>
        <v>Big</v>
      </c>
      <c r="V22" t="s">
        <v>33</v>
      </c>
      <c r="W22">
        <v>242.5</v>
      </c>
      <c r="X22" t="s">
        <v>43</v>
      </c>
    </row>
    <row r="23" spans="1:24" x14ac:dyDescent="0.25">
      <c r="A23" s="1">
        <v>45240</v>
      </c>
      <c r="B23" t="s">
        <v>26</v>
      </c>
      <c r="C23" t="s">
        <v>20</v>
      </c>
      <c r="D23" t="s">
        <v>38</v>
      </c>
      <c r="E23">
        <v>339.25</v>
      </c>
      <c r="F23">
        <v>1800</v>
      </c>
      <c r="G23">
        <v>2000</v>
      </c>
      <c r="H23">
        <v>1200</v>
      </c>
      <c r="J23" t="s">
        <v>37</v>
      </c>
      <c r="K23" t="s">
        <v>39</v>
      </c>
      <c r="L23" t="s">
        <v>44</v>
      </c>
      <c r="M23" t="s">
        <v>19</v>
      </c>
      <c r="N23">
        <v>5</v>
      </c>
      <c r="P23">
        <v>600</v>
      </c>
      <c r="Q23">
        <v>900</v>
      </c>
      <c r="R23" t="s">
        <v>24</v>
      </c>
      <c r="S23">
        <v>1</v>
      </c>
      <c r="T23">
        <v>124.25</v>
      </c>
      <c r="U23" t="str">
        <f>_xlfn.IFNA(_xlfn.IFS(E23&gt;Dash!$D$46, "Big", E23&lt;Dash!$D$49, "Small", E23&gt;Dash!$D$47, "Good"), "Norm")</f>
        <v>Good</v>
      </c>
      <c r="V23" t="s">
        <v>33</v>
      </c>
      <c r="W23">
        <v>217</v>
      </c>
      <c r="X23" t="s">
        <v>43</v>
      </c>
    </row>
    <row r="24" spans="1:24" x14ac:dyDescent="0.25">
      <c r="A24" s="1">
        <v>45267</v>
      </c>
      <c r="B24" t="s">
        <v>36</v>
      </c>
      <c r="C24" t="s">
        <v>20</v>
      </c>
      <c r="D24" t="s">
        <v>38</v>
      </c>
      <c r="E24">
        <v>221.5</v>
      </c>
      <c r="F24">
        <v>2000</v>
      </c>
      <c r="G24">
        <v>2000</v>
      </c>
      <c r="H24">
        <v>1200</v>
      </c>
      <c r="J24" t="s">
        <v>37</v>
      </c>
      <c r="K24" t="s">
        <v>39</v>
      </c>
      <c r="L24" t="s">
        <v>32</v>
      </c>
      <c r="M24" t="s">
        <v>19</v>
      </c>
      <c r="N24">
        <v>8</v>
      </c>
      <c r="P24">
        <v>200</v>
      </c>
      <c r="Q24">
        <v>1400</v>
      </c>
      <c r="R24" t="s">
        <v>33</v>
      </c>
      <c r="S24" t="s">
        <v>28</v>
      </c>
      <c r="T24">
        <v>230.5</v>
      </c>
      <c r="U24" t="str">
        <f>_xlfn.IFNA(_xlfn.IFS(E24&gt;Dash!$D$46, "Big", E24&lt;Dash!$D$49, "Small", E24&gt;Dash!$D$47, "Good"), "Norm")</f>
        <v>Norm</v>
      </c>
      <c r="V24" t="s">
        <v>33</v>
      </c>
      <c r="W24">
        <v>235.75</v>
      </c>
      <c r="X24" t="s">
        <v>43</v>
      </c>
    </row>
    <row r="25" spans="1:24" x14ac:dyDescent="0.25">
      <c r="A25" s="1">
        <v>45302</v>
      </c>
      <c r="B25" t="s">
        <v>36</v>
      </c>
      <c r="C25" t="s">
        <v>33</v>
      </c>
      <c r="D25" t="s">
        <v>38</v>
      </c>
      <c r="E25">
        <v>304</v>
      </c>
      <c r="F25">
        <v>1900</v>
      </c>
      <c r="G25">
        <v>800</v>
      </c>
      <c r="H25">
        <v>1100</v>
      </c>
      <c r="J25" t="s">
        <v>29</v>
      </c>
      <c r="K25" t="s">
        <v>35</v>
      </c>
      <c r="L25" t="s">
        <v>25</v>
      </c>
      <c r="M25" t="s">
        <v>36</v>
      </c>
      <c r="N25">
        <v>6</v>
      </c>
      <c r="R25" t="s">
        <v>41</v>
      </c>
      <c r="S25">
        <v>1</v>
      </c>
      <c r="T25">
        <v>147.25</v>
      </c>
      <c r="U25" t="str">
        <f>_xlfn.IFNA(_xlfn.IFS(E25&gt;Dash!$D$46, "Big", E25&lt;Dash!$D$49, "Small", E25&gt;Dash!$D$47, "Good"), "Norm")</f>
        <v>Good</v>
      </c>
      <c r="V25" t="s">
        <v>33</v>
      </c>
      <c r="W25">
        <v>181.5</v>
      </c>
      <c r="X25" t="s">
        <v>28</v>
      </c>
    </row>
    <row r="26" spans="1:24" x14ac:dyDescent="0.25">
      <c r="A26" s="1">
        <v>45320</v>
      </c>
      <c r="B26" t="s">
        <v>23</v>
      </c>
      <c r="C26" t="s">
        <v>13</v>
      </c>
      <c r="D26" t="s">
        <v>38</v>
      </c>
      <c r="E26">
        <v>196.5</v>
      </c>
      <c r="F26">
        <v>1800</v>
      </c>
      <c r="G26">
        <v>1900</v>
      </c>
      <c r="H26">
        <v>1400</v>
      </c>
      <c r="J26" t="s">
        <v>29</v>
      </c>
      <c r="K26" t="s">
        <v>31</v>
      </c>
      <c r="L26" t="s">
        <v>32</v>
      </c>
      <c r="M26" t="s">
        <v>19</v>
      </c>
      <c r="N26">
        <v>13</v>
      </c>
      <c r="R26" t="s">
        <v>13</v>
      </c>
      <c r="S26" t="s">
        <v>47</v>
      </c>
      <c r="T26">
        <v>136.5</v>
      </c>
      <c r="U26" t="str">
        <f>_xlfn.IFNA(_xlfn.IFS(E26&gt;Dash!$D$46, "Big", E26&lt;Dash!$D$49, "Small", E26&gt;Dash!$D$47, "Good"), "Norm")</f>
        <v>Norm</v>
      </c>
      <c r="V26" t="s">
        <v>20</v>
      </c>
      <c r="W26">
        <v>128.5</v>
      </c>
      <c r="X26" t="s">
        <v>14</v>
      </c>
    </row>
    <row r="27" spans="1:24" x14ac:dyDescent="0.25">
      <c r="A27" s="1">
        <v>45351</v>
      </c>
      <c r="B27" t="s">
        <v>36</v>
      </c>
      <c r="C27" t="s">
        <v>20</v>
      </c>
      <c r="D27" t="s">
        <v>38</v>
      </c>
      <c r="E27">
        <v>250</v>
      </c>
      <c r="F27">
        <v>300</v>
      </c>
      <c r="G27">
        <v>300</v>
      </c>
      <c r="H27">
        <v>900</v>
      </c>
      <c r="I27">
        <v>1000</v>
      </c>
      <c r="J27" t="s">
        <v>15</v>
      </c>
      <c r="K27" t="s">
        <v>39</v>
      </c>
      <c r="L27" t="s">
        <v>32</v>
      </c>
      <c r="M27" t="s">
        <v>19</v>
      </c>
      <c r="N27">
        <v>7</v>
      </c>
      <c r="R27" t="s">
        <v>20</v>
      </c>
      <c r="S27" t="s">
        <v>28</v>
      </c>
      <c r="T27">
        <v>302.25</v>
      </c>
      <c r="U27" t="str">
        <f>_xlfn.IFNA(_xlfn.IFS(E27&gt;Dash!$D$46, "Big", E27&lt;Dash!$D$49, "Small", E27&gt;Dash!$D$47, "Good"), "Norm")</f>
        <v>Norm</v>
      </c>
      <c r="V27" t="s">
        <v>13</v>
      </c>
      <c r="W27">
        <v>99</v>
      </c>
      <c r="X27" t="s">
        <v>14</v>
      </c>
    </row>
    <row r="28" spans="1:24" x14ac:dyDescent="0.25">
      <c r="A28" s="1">
        <v>45358</v>
      </c>
      <c r="B28" t="s">
        <v>36</v>
      </c>
      <c r="C28" t="s">
        <v>20</v>
      </c>
      <c r="D28" t="s">
        <v>38</v>
      </c>
      <c r="E28">
        <v>254.75</v>
      </c>
      <c r="F28">
        <v>2100</v>
      </c>
      <c r="G28">
        <v>2100</v>
      </c>
      <c r="H28">
        <v>900</v>
      </c>
      <c r="J28" t="s">
        <v>37</v>
      </c>
      <c r="K28" t="s">
        <v>39</v>
      </c>
      <c r="L28" t="s">
        <v>32</v>
      </c>
      <c r="M28" t="s">
        <v>19</v>
      </c>
      <c r="N28">
        <v>9</v>
      </c>
      <c r="R28" t="s">
        <v>33</v>
      </c>
      <c r="S28" t="s">
        <v>43</v>
      </c>
      <c r="T28">
        <v>424</v>
      </c>
      <c r="U28" t="str">
        <f>_xlfn.IFNA(_xlfn.IFS(E28&gt;Dash!$D$46, "Big", E28&lt;Dash!$D$49, "Small", E28&gt;Dash!$D$47, "Good"), "Norm")</f>
        <v>Good</v>
      </c>
      <c r="V28" t="s">
        <v>13</v>
      </c>
      <c r="W28">
        <v>210.75</v>
      </c>
      <c r="X28">
        <v>1</v>
      </c>
    </row>
    <row r="29" spans="1:24" x14ac:dyDescent="0.25">
      <c r="A29" s="1">
        <v>45407</v>
      </c>
      <c r="B29" t="s">
        <v>36</v>
      </c>
      <c r="C29" t="s">
        <v>33</v>
      </c>
      <c r="D29" t="s">
        <v>38</v>
      </c>
      <c r="E29">
        <v>296.75</v>
      </c>
      <c r="F29">
        <v>1800</v>
      </c>
      <c r="G29">
        <v>2000</v>
      </c>
      <c r="J29" t="s">
        <v>37</v>
      </c>
      <c r="K29" t="s">
        <v>25</v>
      </c>
      <c r="L29" t="s">
        <v>44</v>
      </c>
      <c r="M29" t="s">
        <v>19</v>
      </c>
      <c r="N29">
        <v>7</v>
      </c>
      <c r="O29" t="s">
        <v>64</v>
      </c>
      <c r="R29" t="s">
        <v>33</v>
      </c>
      <c r="S29" t="s">
        <v>28</v>
      </c>
      <c r="T29">
        <v>233.25</v>
      </c>
      <c r="U29" t="str">
        <f>_xlfn.IFNA(_xlfn.IFS(E29&gt;Dash!$D$46, "Big", E29&lt;Dash!$D$49, "Small", E29&gt;Dash!$D$47, "Good"), "Norm")</f>
        <v>Good</v>
      </c>
      <c r="V29" t="s">
        <v>33</v>
      </c>
      <c r="W29">
        <v>228.25</v>
      </c>
      <c r="X29" t="s">
        <v>43</v>
      </c>
    </row>
    <row r="30" spans="1:24" x14ac:dyDescent="0.25">
      <c r="A30" s="1">
        <v>45470</v>
      </c>
      <c r="B30" t="s">
        <v>36</v>
      </c>
      <c r="C30" t="s">
        <v>24</v>
      </c>
      <c r="D30" t="s">
        <v>38</v>
      </c>
      <c r="E30">
        <v>163.75</v>
      </c>
      <c r="F30">
        <v>2000</v>
      </c>
      <c r="G30">
        <v>2100</v>
      </c>
      <c r="H30">
        <v>900</v>
      </c>
      <c r="I30">
        <v>1000</v>
      </c>
      <c r="J30" t="s">
        <v>37</v>
      </c>
      <c r="K30" t="s">
        <v>31</v>
      </c>
      <c r="L30" t="s">
        <v>35</v>
      </c>
      <c r="M30" t="s">
        <v>19</v>
      </c>
      <c r="N30">
        <v>6</v>
      </c>
      <c r="R30" t="s">
        <v>33</v>
      </c>
      <c r="S30" t="s">
        <v>43</v>
      </c>
      <c r="T30">
        <v>367</v>
      </c>
      <c r="U30" t="str">
        <f>_xlfn.IFNA(_xlfn.IFS(E30&gt;Dash!$D$46, "Big", E30&lt;Dash!$D$49, "Small", E30&gt;Dash!$D$47, "Good"), "Norm")</f>
        <v>Norm</v>
      </c>
      <c r="V30" t="s">
        <v>41</v>
      </c>
      <c r="W30">
        <v>127</v>
      </c>
      <c r="X30" t="s">
        <v>43</v>
      </c>
    </row>
    <row r="31" spans="1:24" x14ac:dyDescent="0.25">
      <c r="A31" s="1">
        <v>45512</v>
      </c>
      <c r="B31" t="s">
        <v>36</v>
      </c>
      <c r="C31" t="s">
        <v>13</v>
      </c>
      <c r="D31" t="s">
        <v>38</v>
      </c>
      <c r="E31">
        <v>597.25</v>
      </c>
      <c r="F31">
        <v>1900</v>
      </c>
      <c r="G31">
        <v>1900</v>
      </c>
      <c r="H31">
        <v>1400</v>
      </c>
      <c r="I31">
        <v>1400</v>
      </c>
      <c r="J31" t="s">
        <v>37</v>
      </c>
      <c r="K31" t="s">
        <v>31</v>
      </c>
      <c r="L31" t="s">
        <v>44</v>
      </c>
      <c r="M31" t="s">
        <v>23</v>
      </c>
      <c r="N31">
        <v>2</v>
      </c>
      <c r="R31" t="s">
        <v>33</v>
      </c>
      <c r="S31" t="s">
        <v>28</v>
      </c>
      <c r="T31">
        <v>291.5</v>
      </c>
      <c r="U31" t="str">
        <f>_xlfn.IFNA(_xlfn.IFS(E31&gt;Dash!$D$46, "Big", E31&lt;Dash!$D$49, "Small", E31&gt;Dash!$D$47, "Good"), "Norm")</f>
        <v>Big</v>
      </c>
      <c r="V31" t="s">
        <v>33</v>
      </c>
      <c r="W31">
        <v>606.75</v>
      </c>
      <c r="X31" t="s">
        <v>48</v>
      </c>
    </row>
    <row r="32" spans="1:24" x14ac:dyDescent="0.25">
      <c r="A32" s="1">
        <v>45573</v>
      </c>
      <c r="B32" t="s">
        <v>19</v>
      </c>
      <c r="C32" t="s">
        <v>13</v>
      </c>
      <c r="D32" t="s">
        <v>38</v>
      </c>
      <c r="E32">
        <v>273.25</v>
      </c>
      <c r="F32">
        <v>1800</v>
      </c>
      <c r="G32">
        <v>1800</v>
      </c>
      <c r="H32">
        <v>1000</v>
      </c>
      <c r="I32">
        <v>1000</v>
      </c>
      <c r="J32" t="s">
        <v>37</v>
      </c>
      <c r="K32" t="s">
        <v>31</v>
      </c>
      <c r="L32" t="s">
        <v>32</v>
      </c>
      <c r="M32" t="s">
        <v>18</v>
      </c>
      <c r="N32">
        <v>7</v>
      </c>
      <c r="R32" t="s">
        <v>20</v>
      </c>
      <c r="S32" t="s">
        <v>28</v>
      </c>
      <c r="T32">
        <v>244.25</v>
      </c>
      <c r="U32" t="str">
        <f>_xlfn.IFNA(_xlfn.IFS(E32&gt;Dash!$D$46, "Big", E32&lt;Dash!$D$49, "Small", E32&gt;Dash!$D$47, "Good"), "Norm")</f>
        <v>Good</v>
      </c>
      <c r="V32" t="s">
        <v>13</v>
      </c>
      <c r="W32">
        <v>239.25</v>
      </c>
      <c r="X32" t="s">
        <v>43</v>
      </c>
    </row>
    <row r="33" spans="1:24" x14ac:dyDescent="0.25">
      <c r="A33" s="1">
        <v>45594</v>
      </c>
      <c r="B33" t="s">
        <v>19</v>
      </c>
      <c r="C33" t="s">
        <v>33</v>
      </c>
      <c r="D33" t="s">
        <v>38</v>
      </c>
      <c r="E33">
        <v>314.25</v>
      </c>
      <c r="F33">
        <v>2000</v>
      </c>
      <c r="G33">
        <v>2000</v>
      </c>
      <c r="H33">
        <v>1300</v>
      </c>
      <c r="J33" t="s">
        <v>45</v>
      </c>
      <c r="K33" t="s">
        <v>25</v>
      </c>
      <c r="L33" t="s">
        <v>32</v>
      </c>
      <c r="M33" t="s">
        <v>19</v>
      </c>
      <c r="N33">
        <v>11</v>
      </c>
      <c r="O33" t="s">
        <v>75</v>
      </c>
      <c r="R33" t="s">
        <v>13</v>
      </c>
      <c r="S33" t="s">
        <v>14</v>
      </c>
      <c r="T33">
        <v>219.75</v>
      </c>
      <c r="U33" t="str">
        <f>_xlfn.IFNA(_xlfn.IFS(E33&gt;Dash!$D$46, "Big", E33&lt;Dash!$D$49, "Small", E33&gt;Dash!$D$47, "Good"), "Norm")</f>
        <v>Good</v>
      </c>
      <c r="V33" t="s">
        <v>20</v>
      </c>
      <c r="W33">
        <v>179.75</v>
      </c>
      <c r="X33">
        <v>1</v>
      </c>
    </row>
    <row r="34" spans="1:24" x14ac:dyDescent="0.25">
      <c r="A34" s="1">
        <v>45615</v>
      </c>
      <c r="B34" t="s">
        <v>19</v>
      </c>
      <c r="C34" t="s">
        <v>33</v>
      </c>
      <c r="D34" t="s">
        <v>38</v>
      </c>
      <c r="E34">
        <v>410</v>
      </c>
      <c r="F34">
        <v>800</v>
      </c>
      <c r="G34">
        <v>900</v>
      </c>
      <c r="H34">
        <v>1300</v>
      </c>
      <c r="J34" t="s">
        <v>45</v>
      </c>
      <c r="K34" t="s">
        <v>25</v>
      </c>
      <c r="L34" t="s">
        <v>32</v>
      </c>
      <c r="M34" t="s">
        <v>36</v>
      </c>
      <c r="N34">
        <v>3</v>
      </c>
      <c r="R34" t="s">
        <v>41</v>
      </c>
      <c r="S34" t="s">
        <v>43</v>
      </c>
      <c r="T34">
        <v>353</v>
      </c>
      <c r="U34" t="str">
        <f>_xlfn.IFNA(_xlfn.IFS(E34&gt;Dash!$D$46, "Big", E34&lt;Dash!$D$49, "Small", E34&gt;Dash!$D$47, "Good"), "Norm")</f>
        <v>Big</v>
      </c>
      <c r="V34" t="s">
        <v>24</v>
      </c>
      <c r="W34">
        <v>242.75</v>
      </c>
      <c r="X34">
        <v>1</v>
      </c>
    </row>
    <row r="35" spans="1:24" x14ac:dyDescent="0.25">
      <c r="A35" s="1">
        <v>45632</v>
      </c>
      <c r="B35" t="s">
        <v>26</v>
      </c>
      <c r="C35" t="s">
        <v>13</v>
      </c>
      <c r="D35" t="s">
        <v>38</v>
      </c>
      <c r="E35">
        <v>229</v>
      </c>
      <c r="F35">
        <v>1800</v>
      </c>
      <c r="G35">
        <v>1800</v>
      </c>
      <c r="H35">
        <v>900</v>
      </c>
      <c r="J35" t="s">
        <v>37</v>
      </c>
      <c r="K35" t="s">
        <v>31</v>
      </c>
      <c r="L35" t="s">
        <v>32</v>
      </c>
      <c r="M35" t="s">
        <v>23</v>
      </c>
      <c r="N35">
        <v>9</v>
      </c>
      <c r="R35" t="s">
        <v>41</v>
      </c>
      <c r="S35" t="s">
        <v>43</v>
      </c>
      <c r="T35">
        <v>212.75</v>
      </c>
      <c r="U35" t="str">
        <f>_xlfn.IFNA(_xlfn.IFS(E35&gt;Dash!$D$46, "Big", E35&lt;Dash!$D$49, "Small", E35&gt;Dash!$D$47, "Good"), "Norm")</f>
        <v>Norm</v>
      </c>
      <c r="V35" t="s">
        <v>33</v>
      </c>
      <c r="W35">
        <v>108.25</v>
      </c>
      <c r="X35" t="s">
        <v>43</v>
      </c>
    </row>
    <row r="36" spans="1:24" x14ac:dyDescent="0.25">
      <c r="A36" s="1">
        <v>45646</v>
      </c>
      <c r="B36" t="s">
        <v>26</v>
      </c>
      <c r="C36" t="s">
        <v>20</v>
      </c>
      <c r="D36" t="s">
        <v>38</v>
      </c>
      <c r="E36">
        <v>741.75</v>
      </c>
      <c r="F36">
        <v>1900</v>
      </c>
      <c r="G36">
        <v>1000</v>
      </c>
      <c r="H36">
        <v>1100</v>
      </c>
      <c r="I36">
        <v>1300</v>
      </c>
      <c r="J36" t="s">
        <v>37</v>
      </c>
      <c r="K36" t="s">
        <v>39</v>
      </c>
      <c r="L36" t="s">
        <v>32</v>
      </c>
      <c r="M36" t="s">
        <v>23</v>
      </c>
      <c r="N36">
        <v>11</v>
      </c>
      <c r="O36" t="s">
        <v>67</v>
      </c>
      <c r="R36" t="s">
        <v>33</v>
      </c>
      <c r="S36">
        <v>1</v>
      </c>
      <c r="T36">
        <v>300</v>
      </c>
      <c r="U36" t="str">
        <f>_xlfn.IFNA(_xlfn.IFS(E36&gt;Dash!$D$46, "Big", E36&lt;Dash!$D$49, "Small", E36&gt;Dash!$D$47, "Good"), "Norm")</f>
        <v>Big</v>
      </c>
      <c r="V36" t="s">
        <v>33</v>
      </c>
      <c r="W36">
        <v>334.75</v>
      </c>
      <c r="X36">
        <v>1</v>
      </c>
    </row>
    <row r="37" spans="1:24" x14ac:dyDescent="0.25">
      <c r="A37" s="1">
        <v>45280</v>
      </c>
      <c r="B37" t="s">
        <v>18</v>
      </c>
      <c r="C37" t="s">
        <v>33</v>
      </c>
      <c r="D37" t="s">
        <v>57</v>
      </c>
      <c r="E37">
        <v>313.25</v>
      </c>
      <c r="F37">
        <v>1800</v>
      </c>
      <c r="G37">
        <v>1800</v>
      </c>
      <c r="H37">
        <v>1400</v>
      </c>
      <c r="J37" t="s">
        <v>29</v>
      </c>
      <c r="K37" t="s">
        <v>35</v>
      </c>
      <c r="L37" t="s">
        <v>42</v>
      </c>
      <c r="M37" t="s">
        <v>18</v>
      </c>
      <c r="N37">
        <v>5</v>
      </c>
      <c r="P37">
        <v>1300</v>
      </c>
      <c r="Q37">
        <v>1600</v>
      </c>
      <c r="R37" t="s">
        <v>24</v>
      </c>
      <c r="S37">
        <v>1</v>
      </c>
      <c r="T37">
        <v>155.25</v>
      </c>
      <c r="U37" t="str">
        <f>_xlfn.IFNA(_xlfn.IFS(E37&gt;Dash!$D$46, "Big", E37&lt;Dash!$D$49, "Small", E37&gt;Dash!$D$47, "Good"), "Norm")</f>
        <v>Good</v>
      </c>
      <c r="V37" t="s">
        <v>13</v>
      </c>
      <c r="W37">
        <v>83</v>
      </c>
      <c r="X37" t="s">
        <v>28</v>
      </c>
    </row>
    <row r="38" spans="1:24" x14ac:dyDescent="0.25">
      <c r="A38" s="1">
        <v>45391</v>
      </c>
      <c r="B38" t="s">
        <v>19</v>
      </c>
      <c r="C38" t="s">
        <v>33</v>
      </c>
      <c r="D38" t="s">
        <v>53</v>
      </c>
      <c r="E38">
        <v>244.25</v>
      </c>
      <c r="F38">
        <v>900</v>
      </c>
      <c r="G38">
        <v>900</v>
      </c>
      <c r="H38">
        <v>1000</v>
      </c>
      <c r="I38">
        <v>1100</v>
      </c>
      <c r="J38" t="s">
        <v>27</v>
      </c>
      <c r="K38" t="s">
        <v>35</v>
      </c>
      <c r="L38" t="s">
        <v>25</v>
      </c>
      <c r="M38" t="s">
        <v>18</v>
      </c>
      <c r="N38">
        <v>9</v>
      </c>
      <c r="R38" t="s">
        <v>33</v>
      </c>
      <c r="S38" t="s">
        <v>48</v>
      </c>
      <c r="T38">
        <v>420.75</v>
      </c>
      <c r="U38" t="str">
        <f>_xlfn.IFNA(_xlfn.IFS(E38&gt;Dash!$D$46, "Big", E38&lt;Dash!$D$49, "Small", E38&gt;Dash!$D$47, "Good"), "Norm")</f>
        <v>Norm</v>
      </c>
      <c r="V38" t="s">
        <v>33</v>
      </c>
      <c r="W38">
        <v>138.5</v>
      </c>
      <c r="X38">
        <v>1</v>
      </c>
    </row>
    <row r="39" spans="1:24" x14ac:dyDescent="0.25">
      <c r="A39" s="1">
        <v>45426</v>
      </c>
      <c r="B39" t="s">
        <v>19</v>
      </c>
      <c r="C39" t="s">
        <v>33</v>
      </c>
      <c r="D39" t="s">
        <v>53</v>
      </c>
      <c r="E39">
        <v>267.5</v>
      </c>
      <c r="F39">
        <v>800</v>
      </c>
      <c r="G39">
        <v>800</v>
      </c>
      <c r="H39">
        <v>1000</v>
      </c>
      <c r="I39">
        <v>1100</v>
      </c>
      <c r="J39" t="s">
        <v>45</v>
      </c>
      <c r="K39" t="s">
        <v>25</v>
      </c>
      <c r="L39" t="s">
        <v>32</v>
      </c>
      <c r="M39" t="s">
        <v>19</v>
      </c>
      <c r="N39">
        <v>10</v>
      </c>
      <c r="R39" t="s">
        <v>20</v>
      </c>
      <c r="S39" t="s">
        <v>28</v>
      </c>
      <c r="T39">
        <v>313.5</v>
      </c>
      <c r="U39" t="str">
        <f>_xlfn.IFNA(_xlfn.IFS(E39&gt;Dash!$D$46, "Big", E39&lt;Dash!$D$49, "Small", E39&gt;Dash!$D$47, "Good"), "Norm")</f>
        <v>Good</v>
      </c>
      <c r="V39" t="s">
        <v>24</v>
      </c>
      <c r="W39">
        <v>101.25</v>
      </c>
      <c r="X39">
        <v>1</v>
      </c>
    </row>
    <row r="40" spans="1:24" x14ac:dyDescent="0.25">
      <c r="A40" s="1">
        <v>45440</v>
      </c>
      <c r="B40" t="s">
        <v>107</v>
      </c>
      <c r="C40" t="s">
        <v>20</v>
      </c>
      <c r="D40" t="s">
        <v>53</v>
      </c>
      <c r="E40">
        <v>126</v>
      </c>
      <c r="F40">
        <v>400</v>
      </c>
      <c r="G40">
        <v>600</v>
      </c>
      <c r="H40">
        <v>1400</v>
      </c>
      <c r="I40">
        <v>1500</v>
      </c>
      <c r="J40" t="s">
        <v>29</v>
      </c>
      <c r="K40" t="s">
        <v>22</v>
      </c>
      <c r="L40" t="s">
        <v>17</v>
      </c>
      <c r="M40" t="s">
        <v>19</v>
      </c>
      <c r="N40">
        <v>5</v>
      </c>
      <c r="R40" t="s">
        <v>13</v>
      </c>
      <c r="S40" t="s">
        <v>14</v>
      </c>
      <c r="T40">
        <v>124.5</v>
      </c>
      <c r="U40" t="str">
        <f>_xlfn.IFNA(_xlfn.IFS(E40&gt;Dash!$D$46, "Big", E40&lt;Dash!$D$49, "Small", E40&gt;Dash!$D$47, "Good"), "Norm")</f>
        <v>Small</v>
      </c>
      <c r="V40" t="s">
        <v>13</v>
      </c>
      <c r="W40">
        <v>202.5</v>
      </c>
      <c r="X40">
        <v>1</v>
      </c>
    </row>
  </sheetData>
  <conditionalFormatting sqref="B4:B40">
    <cfRule type="containsText" dxfId="116" priority="104" operator="containsText" text="Friday">
      <formula>NOT(ISERROR(SEARCH("Friday",B4)))</formula>
    </cfRule>
    <cfRule type="containsText" dxfId="115" priority="105" operator="containsText" text="Thursday">
      <formula>NOT(ISERROR(SEARCH("Thursday",B4)))</formula>
    </cfRule>
    <cfRule type="containsText" dxfId="114" priority="106" operator="containsText" text="Wednesday">
      <formula>NOT(ISERROR(SEARCH("Wednesday",B4)))</formula>
    </cfRule>
    <cfRule type="containsText" dxfId="113" priority="107" operator="containsText" text="Tuesday">
      <formula>NOT(ISERROR(SEARCH("Tuesday",B4)))</formula>
    </cfRule>
    <cfRule type="containsText" dxfId="112" priority="108" operator="containsText" text="Monday">
      <formula>NOT(ISERROR(SEARCH("Monday",B4)))</formula>
    </cfRule>
  </conditionalFormatting>
  <conditionalFormatting sqref="C1:C40">
    <cfRule type="containsText" dxfId="111" priority="14" operator="containsText" text="Lon Wall">
      <formula>NOT(ISERROR(SEARCH("Lon Wall",C1)))</formula>
    </cfRule>
    <cfRule type="containsText" dxfId="110" priority="15" operator="containsText" text="Asia Wall">
      <formula>NOT(ISERROR(SEARCH("Asia Wall",C1)))</formula>
    </cfRule>
    <cfRule type="containsText" dxfId="109" priority="11" operator="containsText" text="NY Z Day">
      <formula>NOT(ISERROR(SEARCH("NY Z Day",C1)))</formula>
    </cfRule>
    <cfRule type="containsText" dxfId="108" priority="12" operator="containsText" text="Lon Pivot">
      <formula>NOT(ISERROR(SEARCH("Lon Pivot",C1)))</formula>
    </cfRule>
    <cfRule type="containsText" dxfId="107" priority="13" operator="containsText" text="Screamer">
      <formula>NOT(ISERROR(SEARCH("Screamer",C1)))</formula>
    </cfRule>
  </conditionalFormatting>
  <conditionalFormatting sqref="M1:O40">
    <cfRule type="containsText" dxfId="106" priority="6" operator="containsText" text="Friday">
      <formula>NOT(ISERROR(SEARCH("Friday",M1)))</formula>
    </cfRule>
    <cfRule type="containsText" dxfId="105" priority="7" operator="containsText" text="Thursday">
      <formula>NOT(ISERROR(SEARCH("Thursday",M1)))</formula>
    </cfRule>
    <cfRule type="containsText" dxfId="104" priority="8" operator="containsText" text="Wednesday">
      <formula>NOT(ISERROR(SEARCH("Wednesday",M1)))</formula>
    </cfRule>
    <cfRule type="containsText" dxfId="103" priority="9" operator="containsText" text="Tuesday">
      <formula>NOT(ISERROR(SEARCH("Tuesday",M1)))</formula>
    </cfRule>
    <cfRule type="containsText" dxfId="102" priority="10" operator="containsText" text="Monday">
      <formula>NOT(ISERROR(SEARCH("Monday",M1)))</formula>
    </cfRule>
  </conditionalFormatting>
  <conditionalFormatting sqref="P1:Q2 J1:L40">
    <cfRule type="containsText" dxfId="101" priority="18" operator="containsText" text="NYO">
      <formula>NOT(ISERROR(SEARCH("NYO",J1)))</formula>
    </cfRule>
    <cfRule type="containsText" dxfId="100" priority="16" operator="containsText" text="NYAH">
      <formula>NOT(ISERROR(SEARCH("NYAH",J1)))</formula>
    </cfRule>
    <cfRule type="containsText" dxfId="99" priority="17" operator="containsText" text="NYA">
      <formula>NOT(ISERROR(SEARCH("NYA",J1)))</formula>
    </cfRule>
    <cfRule type="containsText" dxfId="98" priority="19" operator="containsText" text="Inside">
      <formula>NOT(ISERROR(SEARCH("Inside",J1)))</formula>
    </cfRule>
    <cfRule type="containsText" dxfId="97" priority="20" operator="containsText" text="Asia">
      <formula>NOT(ISERROR(SEARCH("Asia",J1)))</formula>
    </cfRule>
    <cfRule type="containsText" dxfId="96" priority="21" operator="containsText" text="Lon">
      <formula>NOT(ISERROR(SEARCH("Lon",J1)))</formula>
    </cfRule>
  </conditionalFormatting>
  <conditionalFormatting sqref="R1:R2">
    <cfRule type="containsText" dxfId="95" priority="5" operator="containsText" text="Monday">
      <formula>NOT(ISERROR(SEARCH("Monday",R1)))</formula>
    </cfRule>
    <cfRule type="containsText" dxfId="94" priority="1" operator="containsText" text="Friday">
      <formula>NOT(ISERROR(SEARCH("Friday",R1)))</formula>
    </cfRule>
    <cfRule type="containsText" dxfId="93" priority="2" operator="containsText" text="Thursday">
      <formula>NOT(ISERROR(SEARCH("Thursday",R1)))</formula>
    </cfRule>
    <cfRule type="containsText" dxfId="92" priority="3" operator="containsText" text="Wednesday">
      <formula>NOT(ISERROR(SEARCH("Wednesday",R1)))</formula>
    </cfRule>
    <cfRule type="containsText" dxfId="91" priority="4" operator="containsText" text="Tuesday">
      <formula>NOT(ISERROR(SEARCH("Tuesday",R1)))</formula>
    </cfRule>
  </conditionalFormatting>
  <conditionalFormatting sqref="R4:R40">
    <cfRule type="containsText" dxfId="90" priority="109" operator="containsText" text="NY Z Day">
      <formula>NOT(ISERROR(SEARCH("NY Z Day",R4)))</formula>
    </cfRule>
    <cfRule type="containsText" dxfId="89" priority="110" operator="containsText" text="Lon Pivot">
      <formula>NOT(ISERROR(SEARCH("Lon Pivot",R4)))</formula>
    </cfRule>
    <cfRule type="containsText" dxfId="88" priority="111" operator="containsText" text="Screamer">
      <formula>NOT(ISERROR(SEARCH("Screamer",R4)))</formula>
    </cfRule>
    <cfRule type="containsText" dxfId="87" priority="112" operator="containsText" text="Lon Wall">
      <formula>NOT(ISERROR(SEARCH("Lon Wall",R4)))</formula>
    </cfRule>
    <cfRule type="containsText" dxfId="86" priority="113" operator="containsText" text="Asia Wall">
      <formula>NOT(ISERROR(SEARCH("Asia Wall",R4)))</formula>
    </cfRule>
  </conditionalFormatting>
  <conditionalFormatting sqref="U4:U40">
    <cfRule type="cellIs" dxfId="85" priority="24" operator="equal">
      <formula>"Small"</formula>
    </cfRule>
    <cfRule type="cellIs" dxfId="84" priority="22" operator="equal">
      <formula>"Good"</formula>
    </cfRule>
    <cfRule type="cellIs" dxfId="83" priority="23" operator="equal">
      <formula>"Big"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AD8E-96ED-4920-A11E-E08B2254EE38}">
  <dimension ref="A1:X13"/>
  <sheetViews>
    <sheetView workbookViewId="0">
      <selection sqref="A1:XFD2"/>
    </sheetView>
  </sheetViews>
  <sheetFormatPr defaultRowHeight="15" x14ac:dyDescent="0.25"/>
  <cols>
    <col min="1" max="1" width="10.42578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45225</v>
      </c>
      <c r="B4" t="s">
        <v>36</v>
      </c>
      <c r="C4" t="s">
        <v>33</v>
      </c>
      <c r="D4" t="s">
        <v>47</v>
      </c>
      <c r="E4">
        <v>318.75</v>
      </c>
      <c r="F4">
        <v>1800</v>
      </c>
      <c r="J4" t="s">
        <v>27</v>
      </c>
      <c r="K4" t="s">
        <v>35</v>
      </c>
      <c r="L4" t="s">
        <v>17</v>
      </c>
      <c r="M4" t="s">
        <v>19</v>
      </c>
      <c r="N4">
        <v>7</v>
      </c>
      <c r="O4" t="s">
        <v>69</v>
      </c>
      <c r="P4">
        <v>1500</v>
      </c>
      <c r="Q4">
        <v>1500</v>
      </c>
      <c r="R4" t="s">
        <v>33</v>
      </c>
      <c r="S4">
        <v>1</v>
      </c>
      <c r="T4">
        <v>198</v>
      </c>
      <c r="U4" t="str">
        <f>_xlfn.IFNA(_xlfn.IFS(E4&gt;Dash!$D$46, "Big", E4&lt;Dash!$D$49, "Small", E4&gt;Dash!$D$47, "Good"), "Norm")</f>
        <v>Good</v>
      </c>
      <c r="V4" t="s">
        <v>13</v>
      </c>
      <c r="W4">
        <v>339</v>
      </c>
      <c r="X4" t="s">
        <v>14</v>
      </c>
    </row>
    <row r="5" spans="1:24" x14ac:dyDescent="0.25">
      <c r="A5" s="1">
        <v>45321</v>
      </c>
      <c r="B5" t="s">
        <v>19</v>
      </c>
      <c r="C5" t="s">
        <v>13</v>
      </c>
      <c r="D5" t="s">
        <v>47</v>
      </c>
      <c r="E5">
        <v>136.5</v>
      </c>
      <c r="F5">
        <v>1800</v>
      </c>
      <c r="G5">
        <v>2000</v>
      </c>
      <c r="J5" t="s">
        <v>29</v>
      </c>
      <c r="K5" t="s">
        <v>16</v>
      </c>
      <c r="L5" t="s">
        <v>42</v>
      </c>
      <c r="M5" t="s">
        <v>19</v>
      </c>
      <c r="N5">
        <v>13</v>
      </c>
      <c r="O5" t="s">
        <v>64</v>
      </c>
      <c r="R5">
        <v>0</v>
      </c>
      <c r="S5" t="s">
        <v>47</v>
      </c>
      <c r="T5">
        <v>253.5</v>
      </c>
      <c r="U5" t="str">
        <f>_xlfn.IFNA(_xlfn.IFS(E5&gt;Dash!$D$46, "Big", E5&lt;Dash!$D$49, "Small", E5&gt;Dash!$D$47, "Good"), "Norm")</f>
        <v>Small</v>
      </c>
      <c r="V5" t="s">
        <v>13</v>
      </c>
      <c r="W5">
        <v>196.5</v>
      </c>
      <c r="X5" t="s">
        <v>38</v>
      </c>
    </row>
    <row r="6" spans="1:24" x14ac:dyDescent="0.25">
      <c r="A6" s="1">
        <v>45322</v>
      </c>
      <c r="B6" t="s">
        <v>18</v>
      </c>
      <c r="D6" t="s">
        <v>47</v>
      </c>
      <c r="E6">
        <v>253.5</v>
      </c>
      <c r="F6">
        <v>300</v>
      </c>
      <c r="G6">
        <v>400</v>
      </c>
      <c r="J6" t="s">
        <v>37</v>
      </c>
      <c r="K6" t="s">
        <v>44</v>
      </c>
      <c r="L6" t="s">
        <v>42</v>
      </c>
      <c r="M6" t="s">
        <v>19</v>
      </c>
      <c r="N6">
        <v>13</v>
      </c>
      <c r="R6" t="s">
        <v>20</v>
      </c>
      <c r="S6" t="s">
        <v>28</v>
      </c>
      <c r="T6">
        <v>189.25</v>
      </c>
      <c r="U6" t="str">
        <f>_xlfn.IFNA(_xlfn.IFS(E6&gt;Dash!$D$46, "Big", E6&lt;Dash!$D$49, "Small", E6&gt;Dash!$D$47, "Good"), "Norm")</f>
        <v>Good</v>
      </c>
      <c r="V6" t="s">
        <v>13</v>
      </c>
      <c r="W6">
        <v>136.5</v>
      </c>
      <c r="X6" t="s">
        <v>47</v>
      </c>
    </row>
    <row r="7" spans="1:24" x14ac:dyDescent="0.25">
      <c r="A7" s="1">
        <v>45497</v>
      </c>
      <c r="B7" t="s">
        <v>18</v>
      </c>
      <c r="C7" t="s">
        <v>13</v>
      </c>
      <c r="D7" t="s">
        <v>47</v>
      </c>
      <c r="E7">
        <v>536.25</v>
      </c>
      <c r="F7">
        <v>1800</v>
      </c>
      <c r="J7" t="s">
        <v>37</v>
      </c>
      <c r="K7" t="s">
        <v>16</v>
      </c>
      <c r="L7" t="s">
        <v>17</v>
      </c>
      <c r="M7" t="s">
        <v>18</v>
      </c>
      <c r="N7">
        <v>5</v>
      </c>
      <c r="R7" t="s">
        <v>33</v>
      </c>
      <c r="S7" t="s">
        <v>14</v>
      </c>
      <c r="T7">
        <v>507.25</v>
      </c>
      <c r="U7" t="str">
        <f>_xlfn.IFNA(_xlfn.IFS(E7&gt;Dash!$D$46, "Big", E7&lt;Dash!$D$49, "Small", E7&gt;Dash!$D$47, "Good"), "Norm")</f>
        <v>Big</v>
      </c>
      <c r="V7" t="s">
        <v>41</v>
      </c>
      <c r="W7">
        <v>180.75</v>
      </c>
      <c r="X7" t="s">
        <v>43</v>
      </c>
    </row>
    <row r="8" spans="1:24" x14ac:dyDescent="0.25">
      <c r="A8" s="1">
        <v>45509</v>
      </c>
      <c r="B8" t="s">
        <v>23</v>
      </c>
      <c r="D8" t="s">
        <v>47</v>
      </c>
      <c r="E8">
        <v>926.5</v>
      </c>
      <c r="F8">
        <v>1800</v>
      </c>
      <c r="J8" t="s">
        <v>37</v>
      </c>
      <c r="K8" t="s">
        <v>16</v>
      </c>
      <c r="L8" t="s">
        <v>31</v>
      </c>
      <c r="M8" t="s">
        <v>23</v>
      </c>
      <c r="N8">
        <v>2</v>
      </c>
      <c r="R8" t="s">
        <v>33</v>
      </c>
      <c r="S8" t="s">
        <v>43</v>
      </c>
      <c r="T8">
        <v>517.25</v>
      </c>
      <c r="U8" t="str">
        <f>_xlfn.IFNA(_xlfn.IFS(E8&gt;Dash!$D$46, "Big", E8&lt;Dash!$D$49, "Small", E8&gt;Dash!$D$47, "Good"), "Norm")</f>
        <v>Big</v>
      </c>
      <c r="V8" t="s">
        <v>24</v>
      </c>
      <c r="W8">
        <v>375.75</v>
      </c>
      <c r="X8" t="s">
        <v>14</v>
      </c>
    </row>
    <row r="9" spans="1:24" x14ac:dyDescent="0.25">
      <c r="A9" s="1">
        <v>45533</v>
      </c>
      <c r="B9" t="s">
        <v>36</v>
      </c>
      <c r="C9" t="s">
        <v>24</v>
      </c>
      <c r="D9" t="s">
        <v>47</v>
      </c>
      <c r="E9">
        <v>356.5</v>
      </c>
      <c r="F9">
        <v>1800</v>
      </c>
      <c r="G9">
        <v>2000</v>
      </c>
      <c r="J9" t="s">
        <v>37</v>
      </c>
      <c r="K9" t="s">
        <v>31</v>
      </c>
      <c r="L9" t="s">
        <v>35</v>
      </c>
      <c r="M9" t="s">
        <v>19</v>
      </c>
      <c r="N9">
        <v>4</v>
      </c>
      <c r="R9" t="s">
        <v>33</v>
      </c>
      <c r="S9">
        <v>1</v>
      </c>
      <c r="T9">
        <v>262.25</v>
      </c>
      <c r="U9" t="str">
        <f>_xlfn.IFNA(_xlfn.IFS(E9&gt;Dash!$D$46, "Big", E9&lt;Dash!$D$49, "Small", E9&gt;Dash!$D$47, "Good"), "Norm")</f>
        <v>Good</v>
      </c>
      <c r="V9" t="s">
        <v>20</v>
      </c>
      <c r="W9">
        <v>378</v>
      </c>
      <c r="X9" t="s">
        <v>14</v>
      </c>
    </row>
    <row r="10" spans="1:24" x14ac:dyDescent="0.25">
      <c r="A10" s="1">
        <v>45460</v>
      </c>
      <c r="B10" t="s">
        <v>23</v>
      </c>
      <c r="C10" t="s">
        <v>33</v>
      </c>
      <c r="D10" t="s">
        <v>40</v>
      </c>
      <c r="E10">
        <v>367.25</v>
      </c>
      <c r="F10">
        <v>1800</v>
      </c>
      <c r="J10" t="s">
        <v>29</v>
      </c>
      <c r="K10" t="s">
        <v>25</v>
      </c>
      <c r="L10" t="s">
        <v>32</v>
      </c>
      <c r="M10" t="s">
        <v>19</v>
      </c>
      <c r="N10">
        <v>7</v>
      </c>
      <c r="R10" t="s">
        <v>33</v>
      </c>
      <c r="S10">
        <v>1</v>
      </c>
      <c r="T10">
        <v>143.5</v>
      </c>
      <c r="U10" t="str">
        <f>_xlfn.IFNA(_xlfn.IFS(E10&gt;Dash!$D$46, "Big", E10&lt;Dash!$D$49, "Small", E10&gt;Dash!$D$47, "Good"), "Norm")</f>
        <v>Good</v>
      </c>
      <c r="V10" t="s">
        <v>20</v>
      </c>
      <c r="W10">
        <v>159.25</v>
      </c>
      <c r="X10" t="s">
        <v>28</v>
      </c>
    </row>
    <row r="11" spans="1:24" x14ac:dyDescent="0.25">
      <c r="A11" s="1">
        <v>45639</v>
      </c>
      <c r="B11" t="s">
        <v>26</v>
      </c>
      <c r="C11" t="s">
        <v>41</v>
      </c>
      <c r="D11" t="s">
        <v>40</v>
      </c>
      <c r="E11">
        <v>241.5</v>
      </c>
      <c r="F11">
        <v>400</v>
      </c>
      <c r="J11" t="s">
        <v>30</v>
      </c>
      <c r="K11" t="s">
        <v>35</v>
      </c>
      <c r="L11" t="s">
        <v>25</v>
      </c>
      <c r="M11" t="s">
        <v>18</v>
      </c>
      <c r="N11">
        <v>6</v>
      </c>
      <c r="R11" t="s">
        <v>13</v>
      </c>
      <c r="S11" t="s">
        <v>40</v>
      </c>
      <c r="T11">
        <v>284</v>
      </c>
      <c r="U11" t="str">
        <f>_xlfn.IFNA(_xlfn.IFS(E11&gt;Dash!$D$46, "Big", E11&lt;Dash!$D$49, "Small", E11&gt;Dash!$D$47, "Good"), "Norm")</f>
        <v>Norm</v>
      </c>
      <c r="V11" t="s">
        <v>13</v>
      </c>
      <c r="W11">
        <v>120.25</v>
      </c>
      <c r="X11">
        <v>1</v>
      </c>
    </row>
    <row r="12" spans="1:24" x14ac:dyDescent="0.25">
      <c r="A12" s="1">
        <v>45642</v>
      </c>
      <c r="B12" t="s">
        <v>23</v>
      </c>
      <c r="C12" t="s">
        <v>13</v>
      </c>
      <c r="D12" t="s">
        <v>40</v>
      </c>
      <c r="E12">
        <v>284</v>
      </c>
      <c r="F12">
        <v>1800</v>
      </c>
      <c r="G12">
        <v>1800</v>
      </c>
      <c r="J12" t="s">
        <v>29</v>
      </c>
      <c r="K12" t="s">
        <v>31</v>
      </c>
      <c r="L12" t="s">
        <v>32</v>
      </c>
      <c r="M12" t="s">
        <v>23</v>
      </c>
      <c r="N12">
        <v>11</v>
      </c>
      <c r="R12" t="s">
        <v>24</v>
      </c>
      <c r="S12">
        <v>1</v>
      </c>
      <c r="T12">
        <v>141.75</v>
      </c>
      <c r="U12" t="str">
        <f>_xlfn.IFNA(_xlfn.IFS(E12&gt;Dash!$D$46, "Big", E12&lt;Dash!$D$49, "Small", E12&gt;Dash!$D$47, "Good"), "Norm")</f>
        <v>Good</v>
      </c>
      <c r="V12" t="s">
        <v>41</v>
      </c>
      <c r="W12">
        <v>241.5</v>
      </c>
      <c r="X12" t="s">
        <v>40</v>
      </c>
    </row>
    <row r="13" spans="1:24" x14ac:dyDescent="0.25">
      <c r="A13" s="1">
        <v>45551</v>
      </c>
      <c r="B13" t="s">
        <v>23</v>
      </c>
      <c r="C13" t="s">
        <v>24</v>
      </c>
      <c r="D13" t="s">
        <v>51</v>
      </c>
      <c r="E13">
        <v>168.5</v>
      </c>
      <c r="F13">
        <v>1800</v>
      </c>
      <c r="G13">
        <v>1100</v>
      </c>
      <c r="J13" t="s">
        <v>29</v>
      </c>
      <c r="K13" t="s">
        <v>16</v>
      </c>
      <c r="L13" t="s">
        <v>25</v>
      </c>
      <c r="M13" t="s">
        <v>19</v>
      </c>
      <c r="N13">
        <v>7</v>
      </c>
      <c r="R13" t="s">
        <v>33</v>
      </c>
      <c r="S13" t="s">
        <v>28</v>
      </c>
      <c r="T13">
        <v>275.75</v>
      </c>
      <c r="U13" t="str">
        <f>_xlfn.IFNA(_xlfn.IFS(E13&gt;Dash!$D$46, "Big", E13&lt;Dash!$D$49, "Small", E13&gt;Dash!$D$47, "Good"), "Norm")</f>
        <v>Norm</v>
      </c>
      <c r="V13" t="s">
        <v>33</v>
      </c>
      <c r="W13">
        <v>179</v>
      </c>
      <c r="X13" t="s">
        <v>28</v>
      </c>
    </row>
  </sheetData>
  <conditionalFormatting sqref="B4:B13">
    <cfRule type="containsText" dxfId="82" priority="104" operator="containsText" text="Friday">
      <formula>NOT(ISERROR(SEARCH("Friday",B4)))</formula>
    </cfRule>
    <cfRule type="containsText" dxfId="81" priority="105" operator="containsText" text="Thursday">
      <formula>NOT(ISERROR(SEARCH("Thursday",B4)))</formula>
    </cfRule>
    <cfRule type="containsText" dxfId="80" priority="106" operator="containsText" text="Wednesday">
      <formula>NOT(ISERROR(SEARCH("Wednesday",B4)))</formula>
    </cfRule>
    <cfRule type="containsText" dxfId="79" priority="107" operator="containsText" text="Tuesday">
      <formula>NOT(ISERROR(SEARCH("Tuesday",B4)))</formula>
    </cfRule>
    <cfRule type="containsText" dxfId="78" priority="108" operator="containsText" text="Monday">
      <formula>NOT(ISERROR(SEARCH("Monday",B4)))</formula>
    </cfRule>
  </conditionalFormatting>
  <conditionalFormatting sqref="C1:C13">
    <cfRule type="containsText" dxfId="77" priority="14" operator="containsText" text="Lon Wall">
      <formula>NOT(ISERROR(SEARCH("Lon Wall",C1)))</formula>
    </cfRule>
    <cfRule type="containsText" dxfId="76" priority="15" operator="containsText" text="Asia Wall">
      <formula>NOT(ISERROR(SEARCH("Asia Wall",C1)))</formula>
    </cfRule>
    <cfRule type="containsText" dxfId="75" priority="11" operator="containsText" text="NY Z Day">
      <formula>NOT(ISERROR(SEARCH("NY Z Day",C1)))</formula>
    </cfRule>
    <cfRule type="containsText" dxfId="74" priority="12" operator="containsText" text="Lon Pivot">
      <formula>NOT(ISERROR(SEARCH("Lon Pivot",C1)))</formula>
    </cfRule>
    <cfRule type="containsText" dxfId="73" priority="13" operator="containsText" text="Screamer">
      <formula>NOT(ISERROR(SEARCH("Screamer",C1)))</formula>
    </cfRule>
  </conditionalFormatting>
  <conditionalFormatting sqref="M1:O13">
    <cfRule type="containsText" dxfId="72" priority="6" operator="containsText" text="Friday">
      <formula>NOT(ISERROR(SEARCH("Friday",M1)))</formula>
    </cfRule>
    <cfRule type="containsText" dxfId="71" priority="7" operator="containsText" text="Thursday">
      <formula>NOT(ISERROR(SEARCH("Thursday",M1)))</formula>
    </cfRule>
    <cfRule type="containsText" dxfId="70" priority="8" operator="containsText" text="Wednesday">
      <formula>NOT(ISERROR(SEARCH("Wednesday",M1)))</formula>
    </cfRule>
    <cfRule type="containsText" dxfId="69" priority="9" operator="containsText" text="Tuesday">
      <formula>NOT(ISERROR(SEARCH("Tuesday",M1)))</formula>
    </cfRule>
    <cfRule type="containsText" dxfId="68" priority="10" operator="containsText" text="Monday">
      <formula>NOT(ISERROR(SEARCH("Monday",M1)))</formula>
    </cfRule>
  </conditionalFormatting>
  <conditionalFormatting sqref="P1:Q3 J1:L13">
    <cfRule type="containsText" dxfId="67" priority="18" operator="containsText" text="NYO">
      <formula>NOT(ISERROR(SEARCH("NYO",J1)))</formula>
    </cfRule>
    <cfRule type="containsText" dxfId="66" priority="16" operator="containsText" text="NYAH">
      <formula>NOT(ISERROR(SEARCH("NYAH",J1)))</formula>
    </cfRule>
    <cfRule type="containsText" dxfId="65" priority="17" operator="containsText" text="NYA">
      <formula>NOT(ISERROR(SEARCH("NYA",J1)))</formula>
    </cfRule>
    <cfRule type="containsText" dxfId="64" priority="19" operator="containsText" text="Inside">
      <formula>NOT(ISERROR(SEARCH("Inside",J1)))</formula>
    </cfRule>
    <cfRule type="containsText" dxfId="63" priority="20" operator="containsText" text="Asia">
      <formula>NOT(ISERROR(SEARCH("Asia",J1)))</formula>
    </cfRule>
    <cfRule type="containsText" dxfId="62" priority="21" operator="containsText" text="Lon">
      <formula>NOT(ISERROR(SEARCH("Lon",J1)))</formula>
    </cfRule>
  </conditionalFormatting>
  <conditionalFormatting sqref="R1:R3">
    <cfRule type="containsText" dxfId="61" priority="5" operator="containsText" text="Monday">
      <formula>NOT(ISERROR(SEARCH("Monday",R1)))</formula>
    </cfRule>
    <cfRule type="containsText" dxfId="60" priority="1" operator="containsText" text="Friday">
      <formula>NOT(ISERROR(SEARCH("Friday",R1)))</formula>
    </cfRule>
    <cfRule type="containsText" dxfId="59" priority="2" operator="containsText" text="Thursday">
      <formula>NOT(ISERROR(SEARCH("Thursday",R1)))</formula>
    </cfRule>
    <cfRule type="containsText" dxfId="58" priority="3" operator="containsText" text="Wednesday">
      <formula>NOT(ISERROR(SEARCH("Wednesday",R1)))</formula>
    </cfRule>
    <cfRule type="containsText" dxfId="57" priority="4" operator="containsText" text="Tuesday">
      <formula>NOT(ISERROR(SEARCH("Tuesday",R1)))</formula>
    </cfRule>
  </conditionalFormatting>
  <conditionalFormatting sqref="R4:R13">
    <cfRule type="containsText" dxfId="56" priority="109" operator="containsText" text="NY Z Day">
      <formula>NOT(ISERROR(SEARCH("NY Z Day",R4)))</formula>
    </cfRule>
    <cfRule type="containsText" dxfId="55" priority="110" operator="containsText" text="Lon Pivot">
      <formula>NOT(ISERROR(SEARCH("Lon Pivot",R4)))</formula>
    </cfRule>
    <cfRule type="containsText" dxfId="54" priority="111" operator="containsText" text="Screamer">
      <formula>NOT(ISERROR(SEARCH("Screamer",R4)))</formula>
    </cfRule>
    <cfRule type="containsText" dxfId="53" priority="112" operator="containsText" text="Lon Wall">
      <formula>NOT(ISERROR(SEARCH("Lon Wall",R4)))</formula>
    </cfRule>
    <cfRule type="containsText" dxfId="52" priority="113" operator="containsText" text="Asia Wall">
      <formula>NOT(ISERROR(SEARCH("Asia Wall",R4)))</formula>
    </cfRule>
  </conditionalFormatting>
  <conditionalFormatting sqref="U4:U13">
    <cfRule type="cellIs" dxfId="51" priority="24" operator="equal">
      <formula>"Small"</formula>
    </cfRule>
    <cfRule type="cellIs" dxfId="50" priority="22" operator="equal">
      <formula>"Good"</formula>
    </cfRule>
    <cfRule type="cellIs" dxfId="49" priority="23" operator="equal">
      <formula>"Big"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996D-E03E-4A72-91A6-D65945304D02}">
  <dimension ref="A1:AI337"/>
  <sheetViews>
    <sheetView topLeftCell="Y1" workbookViewId="0">
      <pane ySplit="1" topLeftCell="A244" activePane="bottomLeft" state="frozen"/>
      <selection pane="bottomLeft" activeCell="Y249" sqref="Y249:AI253"/>
    </sheetView>
  </sheetViews>
  <sheetFormatPr defaultRowHeight="15" x14ac:dyDescent="0.25"/>
  <cols>
    <col min="1" max="1" width="10.42578125" bestFit="1" customWidth="1"/>
    <col min="2" max="2" width="12.85546875" customWidth="1"/>
    <col min="3" max="3" width="10.28515625" customWidth="1"/>
    <col min="4" max="4" width="6" customWidth="1"/>
    <col min="5" max="5" width="9.28515625" customWidth="1"/>
    <col min="6" max="9" width="6.425781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  <col min="25" max="25" width="10.42578125" bestFit="1" customWidth="1"/>
    <col min="35" max="35" width="10.42578125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189</v>
      </c>
      <c r="V1" t="s">
        <v>130</v>
      </c>
      <c r="W1" t="s">
        <v>132</v>
      </c>
      <c r="X1" t="s">
        <v>134</v>
      </c>
      <c r="Y1" t="s">
        <v>0</v>
      </c>
      <c r="Z1" t="s">
        <v>175</v>
      </c>
      <c r="AA1" t="s">
        <v>184</v>
      </c>
      <c r="AB1" t="s">
        <v>176</v>
      </c>
      <c r="AC1" t="s">
        <v>185</v>
      </c>
      <c r="AD1" t="s">
        <v>177</v>
      </c>
      <c r="AE1" t="s">
        <v>186</v>
      </c>
      <c r="AF1" t="s">
        <v>178</v>
      </c>
      <c r="AG1" t="s">
        <v>187</v>
      </c>
      <c r="AH1" t="s">
        <v>179</v>
      </c>
      <c r="AI1" t="s">
        <v>188</v>
      </c>
    </row>
    <row r="2" spans="1:35" x14ac:dyDescent="0.25">
      <c r="S2" t="s">
        <v>125</v>
      </c>
      <c r="T2" t="s">
        <v>126</v>
      </c>
      <c r="V2" t="s">
        <v>133</v>
      </c>
      <c r="W2" t="s">
        <v>133</v>
      </c>
    </row>
    <row r="4" spans="1:35" x14ac:dyDescent="0.25">
      <c r="A4" s="1">
        <v>45174</v>
      </c>
      <c r="B4" t="s">
        <v>19</v>
      </c>
      <c r="C4" t="s">
        <v>20</v>
      </c>
      <c r="D4" t="s">
        <v>46</v>
      </c>
      <c r="E4">
        <v>150</v>
      </c>
      <c r="F4">
        <v>400</v>
      </c>
      <c r="G4">
        <v>500</v>
      </c>
      <c r="J4" t="s">
        <v>15</v>
      </c>
      <c r="K4" t="s">
        <v>39</v>
      </c>
      <c r="L4" t="s">
        <v>32</v>
      </c>
      <c r="M4" t="s">
        <v>18</v>
      </c>
      <c r="N4">
        <v>2</v>
      </c>
      <c r="P4">
        <v>1000</v>
      </c>
      <c r="Q4">
        <v>1400</v>
      </c>
      <c r="R4" t="s">
        <v>13</v>
      </c>
      <c r="S4" t="s">
        <v>14</v>
      </c>
      <c r="T4">
        <v>203.75</v>
      </c>
      <c r="U4" t="str">
        <f>_xlfn.IFNA(_xlfn.IFS(E4&gt;Dash!$D$46, "Big", E4&lt;Dash!$D$49, "Small", E4&gt;Dash!$D$47, "Good"), "Norm")</f>
        <v>Small</v>
      </c>
      <c r="Y4" s="1">
        <v>45174</v>
      </c>
    </row>
    <row r="5" spans="1:35" x14ac:dyDescent="0.25">
      <c r="A5" s="1">
        <v>45175</v>
      </c>
      <c r="B5" t="s">
        <v>18</v>
      </c>
      <c r="C5" t="s">
        <v>13</v>
      </c>
      <c r="D5" t="s">
        <v>14</v>
      </c>
      <c r="E5">
        <v>203.75</v>
      </c>
      <c r="F5">
        <v>1000</v>
      </c>
      <c r="J5" t="s">
        <v>45</v>
      </c>
      <c r="K5" t="s">
        <v>16</v>
      </c>
      <c r="L5" t="s">
        <v>17</v>
      </c>
      <c r="M5" t="s">
        <v>18</v>
      </c>
      <c r="N5">
        <v>2</v>
      </c>
      <c r="P5">
        <v>1300</v>
      </c>
      <c r="Q5">
        <v>1500</v>
      </c>
      <c r="R5" t="s">
        <v>24</v>
      </c>
      <c r="S5" t="s">
        <v>14</v>
      </c>
      <c r="T5">
        <v>154.25</v>
      </c>
      <c r="U5" t="str">
        <f>_xlfn.IFNA(_xlfn.IFS(E5&gt;Dash!$D$46, "Big", E5&lt;Dash!$D$49, "Small", E5&gt;Dash!$D$47, "Good"), "Norm")</f>
        <v>Norm</v>
      </c>
      <c r="V5" t="s">
        <v>20</v>
      </c>
      <c r="W5">
        <v>150</v>
      </c>
      <c r="X5" t="s">
        <v>46</v>
      </c>
      <c r="Y5" s="1">
        <v>45175</v>
      </c>
    </row>
    <row r="6" spans="1:35" x14ac:dyDescent="0.25">
      <c r="A6" s="1">
        <v>45176</v>
      </c>
      <c r="B6" t="s">
        <v>36</v>
      </c>
      <c r="C6" t="s">
        <v>24</v>
      </c>
      <c r="D6" t="s">
        <v>14</v>
      </c>
      <c r="E6">
        <v>154.25</v>
      </c>
      <c r="F6">
        <v>300</v>
      </c>
      <c r="G6">
        <v>300</v>
      </c>
      <c r="J6" t="s">
        <v>15</v>
      </c>
      <c r="K6" t="s">
        <v>16</v>
      </c>
      <c r="L6" t="s">
        <v>25</v>
      </c>
      <c r="M6" t="s">
        <v>18</v>
      </c>
      <c r="N6">
        <v>2</v>
      </c>
      <c r="P6">
        <v>900</v>
      </c>
      <c r="Q6">
        <v>1500</v>
      </c>
      <c r="R6" t="s">
        <v>41</v>
      </c>
      <c r="S6">
        <v>1</v>
      </c>
      <c r="T6">
        <v>149.75</v>
      </c>
      <c r="U6" t="str">
        <f>_xlfn.IFNA(_xlfn.IFS(E6&gt;Dash!$D$46, "Big", E6&lt;Dash!$D$49, "Small", E6&gt;Dash!$D$47, "Good"), "Norm")</f>
        <v>Small</v>
      </c>
      <c r="V6" t="s">
        <v>13</v>
      </c>
      <c r="W6">
        <v>203.75</v>
      </c>
      <c r="X6" t="s">
        <v>14</v>
      </c>
      <c r="Y6" s="1">
        <v>45176</v>
      </c>
    </row>
    <row r="7" spans="1:35" x14ac:dyDescent="0.25">
      <c r="A7" s="1">
        <v>45177</v>
      </c>
      <c r="B7" t="s">
        <v>26</v>
      </c>
      <c r="C7" t="s">
        <v>41</v>
      </c>
      <c r="D7">
        <v>1</v>
      </c>
      <c r="E7">
        <v>149.75</v>
      </c>
      <c r="J7" t="s">
        <v>34</v>
      </c>
      <c r="K7" t="s">
        <v>39</v>
      </c>
      <c r="L7" t="s">
        <v>35</v>
      </c>
      <c r="M7" t="s">
        <v>18</v>
      </c>
      <c r="N7">
        <v>2</v>
      </c>
      <c r="P7">
        <v>1400</v>
      </c>
      <c r="Q7">
        <v>1500</v>
      </c>
      <c r="R7" t="s">
        <v>13</v>
      </c>
      <c r="S7" t="s">
        <v>28</v>
      </c>
      <c r="T7">
        <v>158.5</v>
      </c>
      <c r="U7" t="str">
        <f>_xlfn.IFNA(_xlfn.IFS(E7&gt;Dash!$D$46, "Big", E7&lt;Dash!$D$49, "Small", E7&gt;Dash!$D$47, "Good"), "Norm")</f>
        <v>Small</v>
      </c>
      <c r="V7" t="s">
        <v>24</v>
      </c>
      <c r="W7">
        <v>154.25</v>
      </c>
      <c r="X7" t="s">
        <v>14</v>
      </c>
      <c r="Y7" s="1">
        <v>45177</v>
      </c>
      <c r="Z7">
        <v>66.25</v>
      </c>
      <c r="AA7" t="str">
        <f>_xlfn.IFNA(_xlfn.IFS(Z7&gt;Dash!$E$46, "Big", Z7&lt;Dash!$E$49, "Small", Z7&gt;Dash!$E$47, "Good"), "Norm")</f>
        <v>Norm</v>
      </c>
      <c r="AB7">
        <v>120.75</v>
      </c>
      <c r="AC7" t="str">
        <f>_xlfn.IFNA(_xlfn.IFS(AB7&gt;Dash!$F$46, "Big", AB7&lt;Dash!$F$49, "Small", AB7&gt;Dash!$F$47, "Good"), "Norm")</f>
        <v>Good</v>
      </c>
      <c r="AD7">
        <v>108.25</v>
      </c>
      <c r="AE7" t="str">
        <f>_xlfn.IFNA(_xlfn.IFS(AD7&gt;Dash!$G$46, "Big", AD7&lt;Dash!$G$49, "Small", AD7&gt;Dash!$G$47, "Good"), "Norm")</f>
        <v>Small</v>
      </c>
      <c r="AF7">
        <v>149.75</v>
      </c>
      <c r="AG7" t="str">
        <f>_xlfn.IFNA(_xlfn.IFS(AF7&gt;Dash!$H$46, "Big", AF7&lt;Dash!$H$49, "Small", AF7&gt;Dash!$H$47, "Good"), "Norm")</f>
        <v>Norm</v>
      </c>
    </row>
    <row r="8" spans="1:35" x14ac:dyDescent="0.25">
      <c r="A8" s="1">
        <v>45180</v>
      </c>
      <c r="B8" t="s">
        <v>23</v>
      </c>
      <c r="C8" t="s">
        <v>13</v>
      </c>
      <c r="D8" t="s">
        <v>28</v>
      </c>
      <c r="E8">
        <v>158.5</v>
      </c>
      <c r="F8">
        <v>300</v>
      </c>
      <c r="G8">
        <v>300</v>
      </c>
      <c r="J8" t="s">
        <v>30</v>
      </c>
      <c r="K8" t="s">
        <v>31</v>
      </c>
      <c r="L8" t="s">
        <v>32</v>
      </c>
      <c r="M8" t="s">
        <v>18</v>
      </c>
      <c r="N8">
        <v>10</v>
      </c>
      <c r="P8">
        <v>1000</v>
      </c>
      <c r="Q8">
        <v>1500</v>
      </c>
      <c r="R8" t="s">
        <v>20</v>
      </c>
      <c r="S8" t="s">
        <v>14</v>
      </c>
      <c r="T8">
        <v>172.5</v>
      </c>
      <c r="U8" t="str">
        <f>_xlfn.IFNA(_xlfn.IFS(E8&gt;Dash!$D$46, "Big", E8&lt;Dash!$D$49, "Small", E8&gt;Dash!$D$47, "Good"), "Norm")</f>
        <v>Norm</v>
      </c>
      <c r="V8" t="s">
        <v>41</v>
      </c>
      <c r="W8">
        <v>149.75</v>
      </c>
      <c r="X8">
        <v>1</v>
      </c>
      <c r="Y8" s="1">
        <v>45180</v>
      </c>
      <c r="Z8">
        <v>66.25</v>
      </c>
      <c r="AA8" t="str">
        <f>_xlfn.IFNA(_xlfn.IFS(Z8&gt;Dash!$E$46, "Big", Z8&lt;Dash!$E$49, "Small", Z8&gt;Dash!$E$47, "Good"), "Norm")</f>
        <v>Norm</v>
      </c>
      <c r="AB8">
        <v>61</v>
      </c>
      <c r="AC8" t="str">
        <f>_xlfn.IFNA(_xlfn.IFS(AB8&gt;Dash!$F$46, "Big", AB8&lt;Dash!$F$49, "Small", AB8&gt;Dash!$F$47, "Good"), "Norm")</f>
        <v>Norm</v>
      </c>
      <c r="AD8">
        <v>109.25</v>
      </c>
      <c r="AE8" t="str">
        <f>_xlfn.IFNA(_xlfn.IFS(AD8&gt;Dash!$G$46, "Big", AD8&lt;Dash!$G$49, "Small", AD8&gt;Dash!$G$47, "Good"), "Norm")</f>
        <v>Small</v>
      </c>
      <c r="AF8">
        <v>136</v>
      </c>
      <c r="AG8" t="str">
        <f>_xlfn.IFNA(_xlfn.IFS(AF8&gt;Dash!$H$46, "Big", AF8&lt;Dash!$H$49, "Small", AF8&gt;Dash!$H$47, "Good"), "Norm")</f>
        <v>Norm</v>
      </c>
      <c r="AH8">
        <v>13</v>
      </c>
      <c r="AI8" t="str">
        <f>_xlfn.IFNA(_xlfn.IFS(AH8&gt;Dash!$I$46, "Big", AH8&lt;Dash!$I$49, "Small", AH8&gt;Dash!$I$47, "Good"), "Norm")</f>
        <v>Small</v>
      </c>
    </row>
    <row r="9" spans="1:35" x14ac:dyDescent="0.25">
      <c r="A9" s="1">
        <v>45181</v>
      </c>
      <c r="B9" t="s">
        <v>19</v>
      </c>
      <c r="C9" t="s">
        <v>20</v>
      </c>
      <c r="D9" t="s">
        <v>14</v>
      </c>
      <c r="E9">
        <v>172.5</v>
      </c>
      <c r="F9">
        <v>1500</v>
      </c>
      <c r="G9">
        <v>1500</v>
      </c>
      <c r="J9" t="s">
        <v>21</v>
      </c>
      <c r="K9" t="s">
        <v>22</v>
      </c>
      <c r="L9" t="s">
        <v>17</v>
      </c>
      <c r="M9" t="s">
        <v>18</v>
      </c>
      <c r="N9">
        <v>10</v>
      </c>
      <c r="P9">
        <v>1300</v>
      </c>
      <c r="Q9">
        <v>1500</v>
      </c>
      <c r="R9" t="s">
        <v>33</v>
      </c>
      <c r="S9" t="s">
        <v>46</v>
      </c>
      <c r="T9">
        <v>211.5</v>
      </c>
      <c r="U9" t="str">
        <f>_xlfn.IFNA(_xlfn.IFS(E9&gt;Dash!$D$46, "Big", E9&lt;Dash!$D$49, "Small", E9&gt;Dash!$D$47, "Good"), "Norm")</f>
        <v>Norm</v>
      </c>
      <c r="V9" t="s">
        <v>13</v>
      </c>
      <c r="W9">
        <v>158.5</v>
      </c>
      <c r="X9" t="s">
        <v>28</v>
      </c>
      <c r="Y9" s="1">
        <v>45181</v>
      </c>
      <c r="Z9">
        <v>34.25</v>
      </c>
      <c r="AA9" t="str">
        <f>_xlfn.IFNA(_xlfn.IFS(Z9&gt;Dash!$E$46, "Big", Z9&lt;Dash!$E$49, "Small", Z9&gt;Dash!$E$47, "Good"), "Norm")</f>
        <v>Small</v>
      </c>
      <c r="AB9">
        <v>61.75</v>
      </c>
      <c r="AC9" t="str">
        <f>_xlfn.IFNA(_xlfn.IFS(AB9&gt;Dash!$F$46, "Big", AB9&lt;Dash!$F$49, "Small", AB9&gt;Dash!$F$47, "Good"), "Norm")</f>
        <v>Norm</v>
      </c>
      <c r="AD9">
        <v>139</v>
      </c>
      <c r="AE9" t="str">
        <f>_xlfn.IFNA(_xlfn.IFS(AD9&gt;Dash!$G$46, "Big", AD9&lt;Dash!$G$49, "Small", AD9&gt;Dash!$G$47, "Good"), "Norm")</f>
        <v>Norm</v>
      </c>
      <c r="AF9">
        <v>129.75</v>
      </c>
      <c r="AG9" t="str">
        <f>_xlfn.IFNA(_xlfn.IFS(AF9&gt;Dash!$H$46, "Big", AF9&lt;Dash!$H$49, "Small", AF9&gt;Dash!$H$47, "Good"), "Norm")</f>
        <v>Norm</v>
      </c>
      <c r="AH9">
        <v>16</v>
      </c>
      <c r="AI9" t="str">
        <f>_xlfn.IFNA(_xlfn.IFS(AH9&gt;Dash!$I$46, "Big", AH9&lt;Dash!$I$49, "Small", AH9&gt;Dash!$I$47, "Good"), "Norm")</f>
        <v>Small</v>
      </c>
    </row>
    <row r="10" spans="1:35" x14ac:dyDescent="0.25">
      <c r="A10" s="1">
        <v>45182</v>
      </c>
      <c r="B10" t="s">
        <v>18</v>
      </c>
      <c r="C10" t="s">
        <v>33</v>
      </c>
      <c r="D10" t="s">
        <v>46</v>
      </c>
      <c r="E10">
        <v>211.5</v>
      </c>
      <c r="F10">
        <v>2200</v>
      </c>
      <c r="G10" t="s">
        <v>163</v>
      </c>
      <c r="J10" t="s">
        <v>37</v>
      </c>
      <c r="K10" t="s">
        <v>25</v>
      </c>
      <c r="L10" t="s">
        <v>32</v>
      </c>
      <c r="M10" t="s">
        <v>18</v>
      </c>
      <c r="N10">
        <v>10</v>
      </c>
      <c r="P10">
        <v>1300</v>
      </c>
      <c r="Q10">
        <v>1500</v>
      </c>
      <c r="R10" t="s">
        <v>33</v>
      </c>
      <c r="S10" t="s">
        <v>28</v>
      </c>
      <c r="T10">
        <v>180.5</v>
      </c>
      <c r="U10" t="str">
        <f>_xlfn.IFNA(_xlfn.IFS(E10&gt;Dash!$D$46, "Big", E10&lt;Dash!$D$49, "Small", E10&gt;Dash!$D$47, "Good"), "Norm")</f>
        <v>Norm</v>
      </c>
      <c r="V10" t="s">
        <v>20</v>
      </c>
      <c r="W10">
        <v>172.5</v>
      </c>
      <c r="X10" t="s">
        <v>14</v>
      </c>
      <c r="Y10" s="1">
        <v>45182</v>
      </c>
      <c r="Z10">
        <v>42.75</v>
      </c>
      <c r="AA10" t="str">
        <f>_xlfn.IFNA(_xlfn.IFS(Z10&gt;Dash!$E$46, "Big", Z10&lt;Dash!$E$49, "Small", Z10&gt;Dash!$E$47, "Good"), "Norm")</f>
        <v>Norm</v>
      </c>
      <c r="AB10">
        <v>72.75</v>
      </c>
      <c r="AC10" t="str">
        <f>_xlfn.IFNA(_xlfn.IFS(AB10&gt;Dash!$F$46, "Big", AB10&lt;Dash!$F$49, "Small", AB10&gt;Dash!$F$47, "Good"), "Norm")</f>
        <v>Norm</v>
      </c>
      <c r="AD10">
        <v>195.5</v>
      </c>
      <c r="AE10" t="str">
        <f>_xlfn.IFNA(_xlfn.IFS(AD10&gt;Dash!$G$46, "Big", AD10&lt;Dash!$G$49, "Small", AD10&gt;Dash!$G$47, "Good"), "Norm")</f>
        <v>Norm</v>
      </c>
      <c r="AF10">
        <v>110.75</v>
      </c>
      <c r="AG10" t="str">
        <f>_xlfn.IFNA(_xlfn.IFS(AF10&gt;Dash!$H$46, "Big", AF10&lt;Dash!$H$49, "Small", AF10&gt;Dash!$H$47, "Good"), "Norm")</f>
        <v>Norm</v>
      </c>
      <c r="AH10">
        <v>28.75</v>
      </c>
      <c r="AI10" t="str">
        <f>_xlfn.IFNA(_xlfn.IFS(AH10&gt;Dash!$I$46, "Big", AH10&lt;Dash!$I$49, "Small", AH10&gt;Dash!$I$47, "Good"), "Norm")</f>
        <v>Norm</v>
      </c>
    </row>
    <row r="11" spans="1:35" x14ac:dyDescent="0.25">
      <c r="A11" s="1">
        <v>45183</v>
      </c>
      <c r="B11" t="s">
        <v>36</v>
      </c>
      <c r="C11" t="s">
        <v>33</v>
      </c>
      <c r="D11" t="s">
        <v>28</v>
      </c>
      <c r="E11">
        <v>180.5</v>
      </c>
      <c r="F11">
        <v>2300</v>
      </c>
      <c r="G11" t="s">
        <v>163</v>
      </c>
      <c r="J11" t="s">
        <v>29</v>
      </c>
      <c r="K11" t="s">
        <v>25</v>
      </c>
      <c r="L11" t="s">
        <v>32</v>
      </c>
      <c r="M11" t="s">
        <v>18</v>
      </c>
      <c r="N11">
        <v>10</v>
      </c>
      <c r="P11">
        <v>1400</v>
      </c>
      <c r="Q11">
        <v>1500</v>
      </c>
      <c r="R11" t="s">
        <v>13</v>
      </c>
      <c r="S11" t="s">
        <v>43</v>
      </c>
      <c r="T11">
        <v>121.5</v>
      </c>
      <c r="U11" t="str">
        <f>_xlfn.IFNA(_xlfn.IFS(E11&gt;Dash!$D$46, "Big", E11&lt;Dash!$D$49, "Small", E11&gt;Dash!$D$47, "Good"), "Norm")</f>
        <v>Norm</v>
      </c>
      <c r="V11" t="s">
        <v>33</v>
      </c>
      <c r="W11">
        <v>211.5</v>
      </c>
      <c r="X11" t="s">
        <v>46</v>
      </c>
      <c r="Y11" s="1">
        <v>45183</v>
      </c>
      <c r="Z11">
        <v>70.75</v>
      </c>
      <c r="AA11" t="str">
        <f>_xlfn.IFNA(_xlfn.IFS(Z11&gt;Dash!$E$46, "Big", Z11&lt;Dash!$E$49, "Small", Z11&gt;Dash!$E$47, "Good"), "Norm")</f>
        <v>Norm</v>
      </c>
      <c r="AB11">
        <v>65</v>
      </c>
      <c r="AC11" t="str">
        <f>_xlfn.IFNA(_xlfn.IFS(AB11&gt;Dash!$F$46, "Big", AB11&lt;Dash!$F$49, "Small", AB11&gt;Dash!$F$47, "Good"), "Norm")</f>
        <v>Norm</v>
      </c>
      <c r="AD11">
        <v>161.5</v>
      </c>
      <c r="AE11" t="str">
        <f>_xlfn.IFNA(_xlfn.IFS(AD11&gt;Dash!$G$46, "Big", AD11&lt;Dash!$G$49, "Small", AD11&gt;Dash!$G$47, "Good"), "Norm")</f>
        <v>Norm</v>
      </c>
      <c r="AF11">
        <v>61.25</v>
      </c>
      <c r="AG11" t="str">
        <f>_xlfn.IFNA(_xlfn.IFS(AF11&gt;Dash!$H$46, "Big", AF11&lt;Dash!$H$49, "Small", AF11&gt;Dash!$H$47, "Good"), "Norm")</f>
        <v>Small</v>
      </c>
      <c r="AH11">
        <v>32</v>
      </c>
      <c r="AI11" t="str">
        <f>_xlfn.IFNA(_xlfn.IFS(AH11&gt;Dash!$I$46, "Big", AH11&lt;Dash!$I$49, "Small", AH11&gt;Dash!$I$47, "Good"), "Norm")</f>
        <v>Norm</v>
      </c>
    </row>
    <row r="12" spans="1:35" x14ac:dyDescent="0.25">
      <c r="A12" s="1">
        <v>45184</v>
      </c>
      <c r="B12" t="s">
        <v>26</v>
      </c>
      <c r="C12" t="s">
        <v>13</v>
      </c>
      <c r="D12" t="s">
        <v>43</v>
      </c>
      <c r="E12">
        <v>121.5</v>
      </c>
      <c r="F12" t="s">
        <v>163</v>
      </c>
      <c r="G12">
        <v>100</v>
      </c>
      <c r="J12" t="s">
        <v>29</v>
      </c>
      <c r="K12" t="s">
        <v>16</v>
      </c>
      <c r="L12" t="s">
        <v>17</v>
      </c>
      <c r="M12" t="s">
        <v>18</v>
      </c>
      <c r="N12">
        <v>10</v>
      </c>
      <c r="O12" t="s">
        <v>67</v>
      </c>
      <c r="P12">
        <v>1400</v>
      </c>
      <c r="Q12">
        <v>1500</v>
      </c>
      <c r="R12" t="s">
        <v>20</v>
      </c>
      <c r="S12" t="s">
        <v>46</v>
      </c>
      <c r="T12">
        <v>124</v>
      </c>
      <c r="U12" t="str">
        <f>_xlfn.IFNA(_xlfn.IFS(E12&gt;Dash!$D$46, "Big", E12&lt;Dash!$D$49, "Small", E12&gt;Dash!$D$47, "Good"), "Norm")</f>
        <v>Small</v>
      </c>
      <c r="V12" t="s">
        <v>33</v>
      </c>
      <c r="W12">
        <v>180.5</v>
      </c>
      <c r="X12" t="s">
        <v>28</v>
      </c>
      <c r="Y12" s="1">
        <v>45184</v>
      </c>
      <c r="Z12">
        <v>49</v>
      </c>
      <c r="AA12" t="str">
        <f>_xlfn.IFNA(_xlfn.IFS(Z12&gt;Dash!$E$46, "Big", Z12&lt;Dash!$E$49, "Small", Z12&gt;Dash!$E$47, "Good"), "Norm")</f>
        <v>Norm</v>
      </c>
      <c r="AB12">
        <v>67.75</v>
      </c>
      <c r="AC12" t="str">
        <f>_xlfn.IFNA(_xlfn.IFS(AB12&gt;Dash!$F$46, "Big", AB12&lt;Dash!$F$49, "Small", AB12&gt;Dash!$F$47, "Good"), "Norm")</f>
        <v>Norm</v>
      </c>
      <c r="AD12">
        <v>113.25</v>
      </c>
      <c r="AE12" t="str">
        <f>_xlfn.IFNA(_xlfn.IFS(AD12&gt;Dash!$G$46, "Big", AD12&lt;Dash!$G$49, "Small", AD12&gt;Dash!$G$47, "Good"), "Norm")</f>
        <v>Small</v>
      </c>
      <c r="AF12">
        <v>111.25</v>
      </c>
      <c r="AG12" t="str">
        <f>_xlfn.IFNA(_xlfn.IFS(AF12&gt;Dash!$H$46, "Big", AF12&lt;Dash!$H$49, "Small", AF12&gt;Dash!$H$47, "Good"), "Norm")</f>
        <v>Norm</v>
      </c>
      <c r="AH12">
        <v>18.5</v>
      </c>
      <c r="AI12" t="str">
        <f>_xlfn.IFNA(_xlfn.IFS(AH12&gt;Dash!$I$46, "Big", AH12&lt;Dash!$I$49, "Small", AH12&gt;Dash!$I$47, "Good"), "Norm")</f>
        <v>Small</v>
      </c>
    </row>
    <row r="13" spans="1:35" x14ac:dyDescent="0.25">
      <c r="A13" s="1">
        <v>45187</v>
      </c>
      <c r="B13" t="s">
        <v>23</v>
      </c>
      <c r="C13" t="s">
        <v>20</v>
      </c>
      <c r="D13" t="s">
        <v>46</v>
      </c>
      <c r="E13">
        <v>124</v>
      </c>
      <c r="F13">
        <v>700</v>
      </c>
      <c r="G13">
        <v>800</v>
      </c>
      <c r="J13" t="s">
        <v>15</v>
      </c>
      <c r="K13" t="s">
        <v>39</v>
      </c>
      <c r="L13" t="s">
        <v>32</v>
      </c>
      <c r="M13" t="s">
        <v>18</v>
      </c>
      <c r="N13">
        <v>7</v>
      </c>
      <c r="P13">
        <v>1200</v>
      </c>
      <c r="Q13">
        <v>1400</v>
      </c>
      <c r="R13" t="s">
        <v>33</v>
      </c>
      <c r="S13" t="s">
        <v>14</v>
      </c>
      <c r="T13">
        <v>179.5</v>
      </c>
      <c r="U13" t="str">
        <f>_xlfn.IFNA(_xlfn.IFS(E13&gt;Dash!$D$46, "Big", E13&lt;Dash!$D$49, "Small", E13&gt;Dash!$D$47, "Good"), "Norm")</f>
        <v>Small</v>
      </c>
      <c r="V13" t="s">
        <v>13</v>
      </c>
      <c r="W13">
        <v>121.5</v>
      </c>
      <c r="X13" t="s">
        <v>43</v>
      </c>
      <c r="Y13" s="1">
        <v>45187</v>
      </c>
      <c r="Z13">
        <v>40.25</v>
      </c>
      <c r="AA13" t="str">
        <f>_xlfn.IFNA(_xlfn.IFS(Z13&gt;Dash!$E$46, "Big", Z13&lt;Dash!$E$49, "Small", Z13&gt;Dash!$E$47, "Good"), "Norm")</f>
        <v>Small</v>
      </c>
      <c r="AB13">
        <v>98.25</v>
      </c>
      <c r="AC13" t="str">
        <f>_xlfn.IFNA(_xlfn.IFS(AB13&gt;Dash!$F$46, "Big", AB13&lt;Dash!$F$49, "Small", AB13&gt;Dash!$F$47, "Good"), "Norm")</f>
        <v>Good</v>
      </c>
      <c r="AD13">
        <v>115.5</v>
      </c>
      <c r="AE13" t="str">
        <f>_xlfn.IFNA(_xlfn.IFS(AD13&gt;Dash!$G$46, "Big", AD13&lt;Dash!$G$49, "Small", AD13&gt;Dash!$G$47, "Good"), "Norm")</f>
        <v>Norm</v>
      </c>
      <c r="AF13">
        <v>82</v>
      </c>
      <c r="AG13" t="str">
        <f>_xlfn.IFNA(_xlfn.IFS(AF13&gt;Dash!$H$46, "Big", AF13&lt;Dash!$H$49, "Small", AF13&gt;Dash!$H$47, "Good"), "Norm")</f>
        <v>Small</v>
      </c>
      <c r="AH13">
        <v>18.75</v>
      </c>
      <c r="AI13" t="str">
        <f>_xlfn.IFNA(_xlfn.IFS(AH13&gt;Dash!$I$46, "Big", AH13&lt;Dash!$I$49, "Small", AH13&gt;Dash!$I$47, "Good"), "Norm")</f>
        <v>Small</v>
      </c>
    </row>
    <row r="14" spans="1:35" x14ac:dyDescent="0.25">
      <c r="A14" s="1">
        <v>45188</v>
      </c>
      <c r="B14" t="s">
        <v>19</v>
      </c>
      <c r="C14" t="s">
        <v>33</v>
      </c>
      <c r="D14" t="s">
        <v>14</v>
      </c>
      <c r="E14">
        <v>179.5</v>
      </c>
      <c r="F14">
        <v>900</v>
      </c>
      <c r="G14">
        <v>1300</v>
      </c>
      <c r="J14" t="s">
        <v>45</v>
      </c>
      <c r="K14" t="s">
        <v>35</v>
      </c>
      <c r="L14" t="s">
        <v>25</v>
      </c>
      <c r="M14" t="s">
        <v>18</v>
      </c>
      <c r="N14">
        <v>7</v>
      </c>
      <c r="P14">
        <v>1400</v>
      </c>
      <c r="Q14">
        <v>1500</v>
      </c>
      <c r="R14" t="s">
        <v>33</v>
      </c>
      <c r="S14" t="s">
        <v>14</v>
      </c>
      <c r="T14">
        <v>288.75</v>
      </c>
      <c r="U14" t="str">
        <f>_xlfn.IFNA(_xlfn.IFS(E14&gt;Dash!$D$46, "Big", E14&lt;Dash!$D$49, "Small", E14&gt;Dash!$D$47, "Good"), "Norm")</f>
        <v>Norm</v>
      </c>
      <c r="V14" t="s">
        <v>20</v>
      </c>
      <c r="W14">
        <v>124</v>
      </c>
      <c r="X14" t="s">
        <v>46</v>
      </c>
      <c r="Y14" s="1">
        <v>45188</v>
      </c>
      <c r="Z14">
        <v>50.25</v>
      </c>
      <c r="AA14" t="str">
        <f>_xlfn.IFNA(_xlfn.IFS(Z14&gt;Dash!$E$46, "Big", Z14&lt;Dash!$E$49, "Small", Z14&gt;Dash!$E$47, "Good"), "Norm")</f>
        <v>Norm</v>
      </c>
      <c r="AB14">
        <v>62.75</v>
      </c>
      <c r="AC14" t="str">
        <f>_xlfn.IFNA(_xlfn.IFS(AB14&gt;Dash!$F$46, "Big", AB14&lt;Dash!$F$49, "Small", AB14&gt;Dash!$F$47, "Good"), "Norm")</f>
        <v>Norm</v>
      </c>
      <c r="AD14">
        <v>179.5</v>
      </c>
      <c r="AE14" t="str">
        <f>_xlfn.IFNA(_xlfn.IFS(AD14&gt;Dash!$G$46, "Big", AD14&lt;Dash!$G$49, "Small", AD14&gt;Dash!$G$47, "Good"), "Norm")</f>
        <v>Norm</v>
      </c>
      <c r="AF14">
        <v>150</v>
      </c>
      <c r="AG14" t="str">
        <f>_xlfn.IFNA(_xlfn.IFS(AF14&gt;Dash!$H$46, "Big", AF14&lt;Dash!$H$49, "Small", AF14&gt;Dash!$H$47, "Good"), "Norm")</f>
        <v>Norm</v>
      </c>
      <c r="AH14">
        <v>12.5</v>
      </c>
      <c r="AI14" t="str">
        <f>_xlfn.IFNA(_xlfn.IFS(AH14&gt;Dash!$I$46, "Big", AH14&lt;Dash!$I$49, "Small", AH14&gt;Dash!$I$47, "Good"), "Norm")</f>
        <v>Small</v>
      </c>
    </row>
    <row r="15" spans="1:35" x14ac:dyDescent="0.25">
      <c r="A15" s="1">
        <v>45189</v>
      </c>
      <c r="B15" t="s">
        <v>18</v>
      </c>
      <c r="C15" t="s">
        <v>33</v>
      </c>
      <c r="D15" t="s">
        <v>14</v>
      </c>
      <c r="E15">
        <v>288.75</v>
      </c>
      <c r="F15">
        <v>1500</v>
      </c>
      <c r="J15" t="s">
        <v>21</v>
      </c>
      <c r="K15" t="s">
        <v>35</v>
      </c>
      <c r="L15" t="s">
        <v>17</v>
      </c>
      <c r="M15" t="s">
        <v>18</v>
      </c>
      <c r="N15">
        <v>7</v>
      </c>
      <c r="P15">
        <v>1400</v>
      </c>
      <c r="Q15">
        <v>1600</v>
      </c>
      <c r="R15" t="s">
        <v>13</v>
      </c>
      <c r="S15" t="s">
        <v>14</v>
      </c>
      <c r="T15">
        <v>161</v>
      </c>
      <c r="U15" t="str">
        <f>_xlfn.IFNA(_xlfn.IFS(E15&gt;Dash!$D$46, "Big", E15&lt;Dash!$D$49, "Small", E15&gt;Dash!$D$47, "Good"), "Norm")</f>
        <v>Good</v>
      </c>
      <c r="V15" t="s">
        <v>33</v>
      </c>
      <c r="W15">
        <v>179.5</v>
      </c>
      <c r="X15" t="s">
        <v>14</v>
      </c>
      <c r="Y15" s="1">
        <v>45189</v>
      </c>
      <c r="Z15">
        <v>44.5</v>
      </c>
      <c r="AA15" t="str">
        <f>_xlfn.IFNA(_xlfn.IFS(Z15&gt;Dash!$E$46, "Big", Z15&lt;Dash!$E$49, "Small", Z15&gt;Dash!$E$47, "Good"), "Norm")</f>
        <v>Norm</v>
      </c>
      <c r="AB15">
        <v>62.5</v>
      </c>
      <c r="AC15" t="str">
        <f>_xlfn.IFNA(_xlfn.IFS(AB15&gt;Dash!$F$46, "Big", AB15&lt;Dash!$F$49, "Small", AB15&gt;Dash!$F$47, "Good"), "Norm")</f>
        <v>Norm</v>
      </c>
      <c r="AD15">
        <v>107.75</v>
      </c>
      <c r="AE15" t="str">
        <f>_xlfn.IFNA(_xlfn.IFS(AD15&gt;Dash!$G$46, "Big", AD15&lt;Dash!$G$49, "Small", AD15&gt;Dash!$G$47, "Good"), "Norm")</f>
        <v>Small</v>
      </c>
      <c r="AF15">
        <v>244.5</v>
      </c>
      <c r="AG15" t="str">
        <f>_xlfn.IFNA(_xlfn.IFS(AF15&gt;Dash!$H$46, "Big", AF15&lt;Dash!$H$49, "Small", AF15&gt;Dash!$H$47, "Good"), "Norm")</f>
        <v>Big</v>
      </c>
      <c r="AH15">
        <v>31.25</v>
      </c>
      <c r="AI15" t="str">
        <f>_xlfn.IFNA(_xlfn.IFS(AH15&gt;Dash!$I$46, "Big", AH15&lt;Dash!$I$49, "Small", AH15&gt;Dash!$I$47, "Good"), "Norm")</f>
        <v>Norm</v>
      </c>
    </row>
    <row r="16" spans="1:35" x14ac:dyDescent="0.25">
      <c r="A16" s="1">
        <v>45190</v>
      </c>
      <c r="B16" t="s">
        <v>36</v>
      </c>
      <c r="C16" t="s">
        <v>13</v>
      </c>
      <c r="D16" t="s">
        <v>14</v>
      </c>
      <c r="E16">
        <v>161</v>
      </c>
      <c r="F16">
        <v>1800</v>
      </c>
      <c r="J16" t="s">
        <v>37</v>
      </c>
      <c r="K16" t="s">
        <v>16</v>
      </c>
      <c r="L16" t="s">
        <v>42</v>
      </c>
      <c r="M16" t="s">
        <v>18</v>
      </c>
      <c r="N16">
        <v>7</v>
      </c>
      <c r="P16">
        <v>1300</v>
      </c>
      <c r="Q16">
        <v>1600</v>
      </c>
      <c r="R16" t="s">
        <v>24</v>
      </c>
      <c r="S16" t="s">
        <v>46</v>
      </c>
      <c r="T16">
        <v>175</v>
      </c>
      <c r="U16" t="str">
        <f>_xlfn.IFNA(_xlfn.IFS(E16&gt;Dash!$D$46, "Big", E16&lt;Dash!$D$49, "Small", E16&gt;Dash!$D$47, "Good"), "Norm")</f>
        <v>Norm</v>
      </c>
      <c r="V16" t="s">
        <v>33</v>
      </c>
      <c r="W16">
        <v>288.75</v>
      </c>
      <c r="X16" t="s">
        <v>14</v>
      </c>
      <c r="Y16" s="1">
        <v>45190</v>
      </c>
      <c r="Z16">
        <v>69.25</v>
      </c>
      <c r="AA16" t="str">
        <f>_xlfn.IFNA(_xlfn.IFS(Z16&gt;Dash!$E$46, "Big", Z16&lt;Dash!$E$49, "Small", Z16&gt;Dash!$E$47, "Good"), "Norm")</f>
        <v>Norm</v>
      </c>
      <c r="AB16">
        <v>131</v>
      </c>
      <c r="AC16" t="str">
        <f>_xlfn.IFNA(_xlfn.IFS(AB16&gt;Dash!$F$46, "Big", AB16&lt;Dash!$F$49, "Small", AB16&gt;Dash!$F$47, "Good"), "Norm")</f>
        <v>Good</v>
      </c>
      <c r="AD16">
        <v>101.25</v>
      </c>
      <c r="AE16" t="str">
        <f>_xlfn.IFNA(_xlfn.IFS(AD16&gt;Dash!$G$46, "Big", AD16&lt;Dash!$G$49, "Small", AD16&gt;Dash!$G$47, "Good"), "Norm")</f>
        <v>Small</v>
      </c>
      <c r="AF16">
        <v>141.75</v>
      </c>
      <c r="AG16" t="str">
        <f>_xlfn.IFNA(_xlfn.IFS(AF16&gt;Dash!$H$46, "Big", AF16&lt;Dash!$H$49, "Small", AF16&gt;Dash!$H$47, "Good"), "Norm")</f>
        <v>Norm</v>
      </c>
      <c r="AH16">
        <v>28.75</v>
      </c>
      <c r="AI16" t="str">
        <f>_xlfn.IFNA(_xlfn.IFS(AH16&gt;Dash!$I$46, "Big", AH16&lt;Dash!$I$49, "Small", AH16&gt;Dash!$I$47, "Good"), "Norm")</f>
        <v>Norm</v>
      </c>
    </row>
    <row r="17" spans="1:35" x14ac:dyDescent="0.25">
      <c r="A17" s="1">
        <v>45191</v>
      </c>
      <c r="B17" t="s">
        <v>26</v>
      </c>
      <c r="C17" t="s">
        <v>24</v>
      </c>
      <c r="D17" t="s">
        <v>46</v>
      </c>
      <c r="E17">
        <v>175</v>
      </c>
      <c r="F17">
        <v>2000</v>
      </c>
      <c r="G17">
        <v>2000</v>
      </c>
      <c r="J17" t="s">
        <v>37</v>
      </c>
      <c r="K17" t="s">
        <v>31</v>
      </c>
      <c r="L17" t="s">
        <v>35</v>
      </c>
      <c r="M17" t="s">
        <v>18</v>
      </c>
      <c r="N17">
        <v>7</v>
      </c>
      <c r="P17">
        <v>1500</v>
      </c>
      <c r="Q17">
        <v>1500</v>
      </c>
      <c r="R17" t="s">
        <v>33</v>
      </c>
      <c r="S17" t="s">
        <v>46</v>
      </c>
      <c r="T17">
        <v>157</v>
      </c>
      <c r="U17" t="str">
        <f>_xlfn.IFNA(_xlfn.IFS(E17&gt;Dash!$D$46, "Big", E17&lt;Dash!$D$49, "Small", E17&gt;Dash!$D$47, "Good"), "Norm")</f>
        <v>Norm</v>
      </c>
      <c r="V17" t="s">
        <v>13</v>
      </c>
      <c r="W17">
        <v>161</v>
      </c>
      <c r="X17" t="s">
        <v>14</v>
      </c>
      <c r="Y17" s="1">
        <v>45191</v>
      </c>
      <c r="Z17">
        <v>78.25</v>
      </c>
      <c r="AA17" t="str">
        <f>_xlfn.IFNA(_xlfn.IFS(Z17&gt;Dash!$E$46, "Big", Z17&lt;Dash!$E$49, "Small", Z17&gt;Dash!$E$47, "Good"), "Norm")</f>
        <v>Good</v>
      </c>
      <c r="AB17">
        <v>49.5</v>
      </c>
      <c r="AC17" t="str">
        <f>_xlfn.IFNA(_xlfn.IFS(AB17&gt;Dash!$F$46, "Big", AB17&lt;Dash!$F$49, "Small", AB17&gt;Dash!$F$47, "Good"), "Norm")</f>
        <v>Small</v>
      </c>
      <c r="AD17">
        <v>139.5</v>
      </c>
      <c r="AE17" t="str">
        <f>_xlfn.IFNA(_xlfn.IFS(AD17&gt;Dash!$G$46, "Big", AD17&lt;Dash!$G$49, "Small", AD17&gt;Dash!$G$47, "Good"), "Norm")</f>
        <v>Norm</v>
      </c>
      <c r="AF17">
        <v>170.75</v>
      </c>
      <c r="AG17" t="str">
        <f>_xlfn.IFNA(_xlfn.IFS(AF17&gt;Dash!$H$46, "Big", AF17&lt;Dash!$H$49, "Small", AF17&gt;Dash!$H$47, "Good"), "Norm")</f>
        <v>Good</v>
      </c>
      <c r="AH17">
        <v>26.25</v>
      </c>
      <c r="AI17" t="str">
        <f>_xlfn.IFNA(_xlfn.IFS(AH17&gt;Dash!$I$46, "Big", AH17&lt;Dash!$I$49, "Small", AH17&gt;Dash!$I$47, "Good"), "Norm")</f>
        <v>Norm</v>
      </c>
    </row>
    <row r="18" spans="1:35" x14ac:dyDescent="0.25">
      <c r="A18" s="1">
        <v>45194</v>
      </c>
      <c r="B18" t="s">
        <v>23</v>
      </c>
      <c r="C18" t="s">
        <v>33</v>
      </c>
      <c r="D18" t="s">
        <v>46</v>
      </c>
      <c r="E18">
        <v>157</v>
      </c>
      <c r="F18">
        <v>400</v>
      </c>
      <c r="G18">
        <v>400</v>
      </c>
      <c r="J18" t="s">
        <v>15</v>
      </c>
      <c r="K18" t="s">
        <v>25</v>
      </c>
      <c r="L18" t="s">
        <v>44</v>
      </c>
      <c r="M18" t="s">
        <v>19</v>
      </c>
      <c r="N18">
        <v>6</v>
      </c>
      <c r="P18">
        <v>1500</v>
      </c>
      <c r="Q18">
        <v>1600</v>
      </c>
      <c r="R18" t="s">
        <v>13</v>
      </c>
      <c r="S18" t="s">
        <v>14</v>
      </c>
      <c r="T18">
        <v>226.75</v>
      </c>
      <c r="U18" t="str">
        <f>_xlfn.IFNA(_xlfn.IFS(E18&gt;Dash!$D$46, "Big", E18&lt;Dash!$D$49, "Small", E18&gt;Dash!$D$47, "Good"), "Norm")</f>
        <v>Norm</v>
      </c>
      <c r="V18" t="s">
        <v>24</v>
      </c>
      <c r="W18">
        <v>175</v>
      </c>
      <c r="X18" t="s">
        <v>46</v>
      </c>
      <c r="Y18" s="1">
        <v>45194</v>
      </c>
      <c r="Z18">
        <v>65.75</v>
      </c>
      <c r="AA18" t="str">
        <f>_xlfn.IFNA(_xlfn.IFS(Z18&gt;Dash!$E$46, "Big", Z18&lt;Dash!$E$49, "Small", Z18&gt;Dash!$E$47, "Good"), "Norm")</f>
        <v>Norm</v>
      </c>
      <c r="AB18">
        <v>149</v>
      </c>
      <c r="AC18" t="str">
        <f>_xlfn.IFNA(_xlfn.IFS(AB18&gt;Dash!$F$46, "Big", AB18&lt;Dash!$F$49, "Small", AB18&gt;Dash!$F$47, "Good"), "Norm")</f>
        <v>Good</v>
      </c>
      <c r="AD18">
        <v>140.75</v>
      </c>
      <c r="AE18" t="str">
        <f>_xlfn.IFNA(_xlfn.IFS(AD18&gt;Dash!$G$46, "Big", AD18&lt;Dash!$G$49, "Small", AD18&gt;Dash!$G$47, "Good"), "Norm")</f>
        <v>Norm</v>
      </c>
      <c r="AF18">
        <v>96.75</v>
      </c>
      <c r="AG18" t="str">
        <f>_xlfn.IFNA(_xlfn.IFS(AF18&gt;Dash!$H$46, "Big", AF18&lt;Dash!$H$49, "Small", AF18&gt;Dash!$H$47, "Good"), "Norm")</f>
        <v>Norm</v>
      </c>
      <c r="AH18">
        <v>22</v>
      </c>
      <c r="AI18" t="str">
        <f>_xlfn.IFNA(_xlfn.IFS(AH18&gt;Dash!$I$46, "Big", AH18&lt;Dash!$I$49, "Small", AH18&gt;Dash!$I$47, "Good"), "Norm")</f>
        <v>Norm</v>
      </c>
    </row>
    <row r="19" spans="1:35" x14ac:dyDescent="0.25">
      <c r="A19" s="1">
        <v>45195</v>
      </c>
      <c r="B19" t="s">
        <v>19</v>
      </c>
      <c r="C19" t="s">
        <v>13</v>
      </c>
      <c r="D19" t="s">
        <v>14</v>
      </c>
      <c r="E19">
        <v>226.75</v>
      </c>
      <c r="F19">
        <v>900</v>
      </c>
      <c r="J19" t="s">
        <v>45</v>
      </c>
      <c r="K19" t="s">
        <v>16</v>
      </c>
      <c r="L19" t="s">
        <v>17</v>
      </c>
      <c r="M19" t="s">
        <v>19</v>
      </c>
      <c r="N19">
        <v>6</v>
      </c>
      <c r="P19">
        <v>1300</v>
      </c>
      <c r="Q19">
        <v>1500</v>
      </c>
      <c r="R19" t="s">
        <v>33</v>
      </c>
      <c r="S19" t="s">
        <v>46</v>
      </c>
      <c r="T19">
        <v>235.5</v>
      </c>
      <c r="U19" t="str">
        <f>_xlfn.IFNA(_xlfn.IFS(E19&gt;Dash!$D$46, "Big", E19&lt;Dash!$D$49, "Small", E19&gt;Dash!$D$47, "Good"), "Norm")</f>
        <v>Norm</v>
      </c>
      <c r="V19" t="s">
        <v>33</v>
      </c>
      <c r="W19">
        <v>157</v>
      </c>
      <c r="X19" t="s">
        <v>46</v>
      </c>
      <c r="Y19" s="1">
        <v>45195</v>
      </c>
      <c r="Z19">
        <v>96.75</v>
      </c>
      <c r="AA19" t="str">
        <f>_xlfn.IFNA(_xlfn.IFS(Z19&gt;Dash!$E$46, "Big", Z19&lt;Dash!$E$49, "Small", Z19&gt;Dash!$E$47, "Good"), "Norm")</f>
        <v>Good</v>
      </c>
      <c r="AB19">
        <v>93.75</v>
      </c>
      <c r="AC19" t="str">
        <f>_xlfn.IFNA(_xlfn.IFS(AB19&gt;Dash!$F$46, "Big", AB19&lt;Dash!$F$49, "Small", AB19&gt;Dash!$F$47, "Good"), "Norm")</f>
        <v>Norm</v>
      </c>
      <c r="AD19">
        <v>168.5</v>
      </c>
      <c r="AE19" t="str">
        <f>_xlfn.IFNA(_xlfn.IFS(AD19&gt;Dash!$G$46, "Big", AD19&lt;Dash!$G$49, "Small", AD19&gt;Dash!$G$47, "Good"), "Norm")</f>
        <v>Norm</v>
      </c>
      <c r="AF19">
        <v>117.75</v>
      </c>
      <c r="AG19" t="str">
        <f>_xlfn.IFNA(_xlfn.IFS(AF19&gt;Dash!$H$46, "Big", AF19&lt;Dash!$H$49, "Small", AF19&gt;Dash!$H$47, "Good"), "Norm")</f>
        <v>Norm</v>
      </c>
      <c r="AH19">
        <v>28.75</v>
      </c>
      <c r="AI19" t="str">
        <f>_xlfn.IFNA(_xlfn.IFS(AH19&gt;Dash!$I$46, "Big", AH19&lt;Dash!$I$49, "Small", AH19&gt;Dash!$I$47, "Good"), "Norm")</f>
        <v>Norm</v>
      </c>
    </row>
    <row r="20" spans="1:35" x14ac:dyDescent="0.25">
      <c r="A20" s="1">
        <v>45196</v>
      </c>
      <c r="B20" t="s">
        <v>18</v>
      </c>
      <c r="C20" t="s">
        <v>33</v>
      </c>
      <c r="D20" t="s">
        <v>46</v>
      </c>
      <c r="E20">
        <v>235.5</v>
      </c>
      <c r="F20">
        <v>1200</v>
      </c>
      <c r="G20">
        <v>1400</v>
      </c>
      <c r="J20" t="s">
        <v>21</v>
      </c>
      <c r="K20" t="s">
        <v>17</v>
      </c>
      <c r="L20" t="s">
        <v>32</v>
      </c>
      <c r="M20" t="s">
        <v>19</v>
      </c>
      <c r="N20">
        <v>6</v>
      </c>
      <c r="P20">
        <v>1300</v>
      </c>
      <c r="Q20">
        <v>1500</v>
      </c>
      <c r="R20" t="s">
        <v>33</v>
      </c>
      <c r="S20" t="s">
        <v>28</v>
      </c>
      <c r="T20">
        <v>289.5</v>
      </c>
      <c r="U20" t="str">
        <f>_xlfn.IFNA(_xlfn.IFS(E20&gt;Dash!$D$46, "Big", E20&lt;Dash!$D$49, "Small", E20&gt;Dash!$D$47, "Good"), "Norm")</f>
        <v>Norm</v>
      </c>
      <c r="V20" t="s">
        <v>13</v>
      </c>
      <c r="W20">
        <v>226.75</v>
      </c>
      <c r="X20" t="s">
        <v>14</v>
      </c>
      <c r="Y20" s="1">
        <v>45196</v>
      </c>
      <c r="Z20">
        <v>48.75</v>
      </c>
      <c r="AA20" t="str">
        <f>_xlfn.IFNA(_xlfn.IFS(Z20&gt;Dash!$E$46, "Big", Z20&lt;Dash!$E$49, "Small", Z20&gt;Dash!$E$47, "Good"), "Norm")</f>
        <v>Norm</v>
      </c>
      <c r="AB20">
        <v>51.75</v>
      </c>
      <c r="AC20" t="str">
        <f>_xlfn.IFNA(_xlfn.IFS(AB20&gt;Dash!$F$46, "Big", AB20&lt;Dash!$F$49, "Small", AB20&gt;Dash!$F$47, "Good"), "Norm")</f>
        <v>Small</v>
      </c>
      <c r="AD20">
        <v>133.25</v>
      </c>
      <c r="AE20" t="str">
        <f>_xlfn.IFNA(_xlfn.IFS(AD20&gt;Dash!$G$46, "Big", AD20&lt;Dash!$G$49, "Small", AD20&gt;Dash!$G$47, "Good"), "Norm")</f>
        <v>Norm</v>
      </c>
      <c r="AF20">
        <v>235.5</v>
      </c>
      <c r="AG20" t="str">
        <f>_xlfn.IFNA(_xlfn.IFS(AF20&gt;Dash!$H$46, "Big", AF20&lt;Dash!$H$49, "Small", AF20&gt;Dash!$H$47, "Good"), "Norm")</f>
        <v>Big</v>
      </c>
      <c r="AH20">
        <v>41</v>
      </c>
      <c r="AI20" t="str">
        <f>_xlfn.IFNA(_xlfn.IFS(AH20&gt;Dash!$I$46, "Big", AH20&lt;Dash!$I$49, "Small", AH20&gt;Dash!$I$47, "Good"), "Norm")</f>
        <v>Good</v>
      </c>
    </row>
    <row r="21" spans="1:35" x14ac:dyDescent="0.25">
      <c r="A21" s="1">
        <v>45197</v>
      </c>
      <c r="B21" t="s">
        <v>36</v>
      </c>
      <c r="C21" t="s">
        <v>33</v>
      </c>
      <c r="D21" t="s">
        <v>28</v>
      </c>
      <c r="E21">
        <v>289.5</v>
      </c>
      <c r="F21">
        <v>1100</v>
      </c>
      <c r="J21" t="s">
        <v>27</v>
      </c>
      <c r="K21" t="s">
        <v>25</v>
      </c>
      <c r="L21" t="s">
        <v>35</v>
      </c>
      <c r="M21" t="s">
        <v>19</v>
      </c>
      <c r="N21">
        <v>6</v>
      </c>
      <c r="P21">
        <v>1400</v>
      </c>
      <c r="Q21">
        <v>1500</v>
      </c>
      <c r="R21" t="s">
        <v>33</v>
      </c>
      <c r="S21" t="s">
        <v>43</v>
      </c>
      <c r="T21">
        <v>249.75</v>
      </c>
      <c r="U21" t="str">
        <f>_xlfn.IFNA(_xlfn.IFS(E21&gt;Dash!$D$46, "Big", E21&lt;Dash!$D$49, "Small", E21&gt;Dash!$D$47, "Good"), "Norm")</f>
        <v>Good</v>
      </c>
      <c r="V21" t="s">
        <v>33</v>
      </c>
      <c r="W21">
        <v>235.5</v>
      </c>
      <c r="X21" t="s">
        <v>46</v>
      </c>
      <c r="Y21" s="1">
        <v>45197</v>
      </c>
      <c r="Z21">
        <v>81.25</v>
      </c>
      <c r="AA21" t="str">
        <f>_xlfn.IFNA(_xlfn.IFS(Z21&gt;Dash!$E$46, "Big", Z21&lt;Dash!$E$49, "Small", Z21&gt;Dash!$E$47, "Good"), "Norm")</f>
        <v>Good</v>
      </c>
      <c r="AB21">
        <v>96</v>
      </c>
      <c r="AC21" t="str">
        <f>_xlfn.IFNA(_xlfn.IFS(AB21&gt;Dash!$F$46, "Big", AB21&lt;Dash!$F$49, "Small", AB21&gt;Dash!$F$47, "Good"), "Norm")</f>
        <v>Norm</v>
      </c>
      <c r="AD21">
        <v>252.75</v>
      </c>
      <c r="AE21" t="str">
        <f>_xlfn.IFNA(_xlfn.IFS(AD21&gt;Dash!$G$46, "Big", AD21&lt;Dash!$G$49, "Small", AD21&gt;Dash!$G$47, "Good"), "Norm")</f>
        <v>Good</v>
      </c>
      <c r="AF21">
        <v>136.25</v>
      </c>
      <c r="AG21" t="str">
        <f>_xlfn.IFNA(_xlfn.IFS(AF21&gt;Dash!$H$46, "Big", AF21&lt;Dash!$H$49, "Small", AF21&gt;Dash!$H$47, "Good"), "Norm")</f>
        <v>Norm</v>
      </c>
      <c r="AH21">
        <v>33.25</v>
      </c>
      <c r="AI21" t="str">
        <f>_xlfn.IFNA(_xlfn.IFS(AH21&gt;Dash!$I$46, "Big", AH21&lt;Dash!$I$49, "Small", AH21&gt;Dash!$I$47, "Good"), "Norm")</f>
        <v>Norm</v>
      </c>
    </row>
    <row r="22" spans="1:35" x14ac:dyDescent="0.25">
      <c r="A22" s="1">
        <v>45198</v>
      </c>
      <c r="B22" t="s">
        <v>26</v>
      </c>
      <c r="C22" t="s">
        <v>33</v>
      </c>
      <c r="D22" t="s">
        <v>43</v>
      </c>
      <c r="E22">
        <v>249.75</v>
      </c>
      <c r="F22">
        <v>300</v>
      </c>
      <c r="G22">
        <v>300</v>
      </c>
      <c r="J22" t="s">
        <v>30</v>
      </c>
      <c r="K22" t="s">
        <v>35</v>
      </c>
      <c r="L22" t="s">
        <v>17</v>
      </c>
      <c r="M22" t="s">
        <v>19</v>
      </c>
      <c r="N22">
        <v>6</v>
      </c>
      <c r="P22">
        <v>1400</v>
      </c>
      <c r="Q22">
        <v>1500</v>
      </c>
      <c r="R22" t="s">
        <v>33</v>
      </c>
      <c r="S22">
        <v>1</v>
      </c>
      <c r="T22">
        <v>220</v>
      </c>
      <c r="U22" t="str">
        <f>_xlfn.IFNA(_xlfn.IFS(E22&gt;Dash!$D$46, "Big", E22&lt;Dash!$D$49, "Small", E22&gt;Dash!$D$47, "Good"), "Norm")</f>
        <v>Norm</v>
      </c>
      <c r="V22" t="s">
        <v>33</v>
      </c>
      <c r="W22">
        <v>289.5</v>
      </c>
      <c r="X22" t="s">
        <v>28</v>
      </c>
      <c r="Y22" s="1">
        <v>45198</v>
      </c>
      <c r="Z22">
        <v>73</v>
      </c>
      <c r="AA22" t="str">
        <f>_xlfn.IFNA(_xlfn.IFS(Z22&gt;Dash!$E$46, "Big", Z22&lt;Dash!$E$49, "Small", Z22&gt;Dash!$E$47, "Good"), "Norm")</f>
        <v>Norm</v>
      </c>
      <c r="AB22">
        <v>94.5</v>
      </c>
      <c r="AC22" t="str">
        <f>_xlfn.IFNA(_xlfn.IFS(AB22&gt;Dash!$F$46, "Big", AB22&lt;Dash!$F$49, "Small", AB22&gt;Dash!$F$47, "Good"), "Norm")</f>
        <v>Norm</v>
      </c>
      <c r="AD22">
        <v>153</v>
      </c>
      <c r="AE22" t="str">
        <f>_xlfn.IFNA(_xlfn.IFS(AD22&gt;Dash!$G$46, "Big", AD22&lt;Dash!$G$49, "Small", AD22&gt;Dash!$G$47, "Good"), "Norm")</f>
        <v>Norm</v>
      </c>
      <c r="AF22">
        <v>154.75</v>
      </c>
      <c r="AG22" t="str">
        <f>_xlfn.IFNA(_xlfn.IFS(AF22&gt;Dash!$H$46, "Big", AF22&lt;Dash!$H$49, "Small", AF22&gt;Dash!$H$47, "Good"), "Norm")</f>
        <v>Good</v>
      </c>
      <c r="AH22">
        <v>56</v>
      </c>
      <c r="AI22" t="str">
        <f>_xlfn.IFNA(_xlfn.IFS(AH22&gt;Dash!$I$46, "Big", AH22&lt;Dash!$I$49, "Small", AH22&gt;Dash!$I$47, "Good"), "Norm")</f>
        <v>Good</v>
      </c>
    </row>
    <row r="23" spans="1:35" x14ac:dyDescent="0.25">
      <c r="A23" s="1">
        <v>45201</v>
      </c>
      <c r="B23" t="s">
        <v>23</v>
      </c>
      <c r="C23" t="s">
        <v>33</v>
      </c>
      <c r="D23">
        <v>1</v>
      </c>
      <c r="E23">
        <v>220</v>
      </c>
      <c r="J23" t="s">
        <v>34</v>
      </c>
      <c r="K23" t="s">
        <v>25</v>
      </c>
      <c r="L23" t="s">
        <v>35</v>
      </c>
      <c r="M23" t="s">
        <v>23</v>
      </c>
      <c r="N23">
        <v>9</v>
      </c>
      <c r="P23">
        <v>1400</v>
      </c>
      <c r="Q23">
        <v>1600</v>
      </c>
      <c r="R23" t="s">
        <v>20</v>
      </c>
      <c r="S23" t="s">
        <v>14</v>
      </c>
      <c r="T23">
        <v>323.25</v>
      </c>
      <c r="U23" t="str">
        <f>_xlfn.IFNA(_xlfn.IFS(E23&gt;Dash!$D$46, "Big", E23&lt;Dash!$D$49, "Small", E23&gt;Dash!$D$47, "Good"), "Norm")</f>
        <v>Norm</v>
      </c>
      <c r="V23" t="s">
        <v>33</v>
      </c>
      <c r="W23">
        <v>249.75</v>
      </c>
      <c r="X23" t="s">
        <v>43</v>
      </c>
      <c r="Y23" s="1">
        <v>45201</v>
      </c>
      <c r="Z23">
        <v>75.75</v>
      </c>
      <c r="AA23" t="str">
        <f>_xlfn.IFNA(_xlfn.IFS(Z23&gt;Dash!$E$46, "Big", Z23&lt;Dash!$E$49, "Small", Z23&gt;Dash!$E$47, "Good"), "Norm")</f>
        <v>Norm</v>
      </c>
      <c r="AB23">
        <v>144.5</v>
      </c>
      <c r="AC23" t="str">
        <f>_xlfn.IFNA(_xlfn.IFS(AB23&gt;Dash!$F$46, "Big", AB23&lt;Dash!$F$49, "Small", AB23&gt;Dash!$F$47, "Good"), "Norm")</f>
        <v>Good</v>
      </c>
      <c r="AD23">
        <v>220</v>
      </c>
      <c r="AE23" t="str">
        <f>_xlfn.IFNA(_xlfn.IFS(AD23&gt;Dash!$G$46, "Big", AD23&lt;Dash!$G$49, "Small", AD23&gt;Dash!$G$47, "Good"), "Norm")</f>
        <v>Good</v>
      </c>
      <c r="AF23">
        <v>125</v>
      </c>
      <c r="AG23" t="str">
        <f>_xlfn.IFNA(_xlfn.IFS(AF23&gt;Dash!$H$46, "Big", AF23&lt;Dash!$H$49, "Small", AF23&gt;Dash!$H$47, "Good"), "Norm")</f>
        <v>Norm</v>
      </c>
      <c r="AH23">
        <v>18.5</v>
      </c>
      <c r="AI23" t="str">
        <f>_xlfn.IFNA(_xlfn.IFS(AH23&gt;Dash!$I$46, "Big", AH23&lt;Dash!$I$49, "Small", AH23&gt;Dash!$I$47, "Good"), "Norm")</f>
        <v>Small</v>
      </c>
    </row>
    <row r="24" spans="1:35" x14ac:dyDescent="0.25">
      <c r="A24" s="1">
        <v>45202</v>
      </c>
      <c r="B24" t="s">
        <v>19</v>
      </c>
      <c r="C24" t="s">
        <v>20</v>
      </c>
      <c r="D24" t="s">
        <v>14</v>
      </c>
      <c r="E24">
        <v>323.25</v>
      </c>
      <c r="F24">
        <v>1000</v>
      </c>
      <c r="J24" t="s">
        <v>45</v>
      </c>
      <c r="K24" t="s">
        <v>22</v>
      </c>
      <c r="L24" t="s">
        <v>17</v>
      </c>
      <c r="M24" t="s">
        <v>23</v>
      </c>
      <c r="N24">
        <v>9</v>
      </c>
      <c r="P24">
        <v>1300</v>
      </c>
      <c r="Q24">
        <v>1500</v>
      </c>
      <c r="R24" t="s">
        <v>20</v>
      </c>
      <c r="S24" t="s">
        <v>46</v>
      </c>
      <c r="T24">
        <v>221.5</v>
      </c>
      <c r="U24" t="str">
        <f>_xlfn.IFNA(_xlfn.IFS(E24&gt;Dash!$D$46, "Big", E24&lt;Dash!$D$49, "Small", E24&gt;Dash!$D$47, "Good"), "Norm")</f>
        <v>Good</v>
      </c>
      <c r="V24" t="s">
        <v>33</v>
      </c>
      <c r="W24">
        <v>220</v>
      </c>
      <c r="X24">
        <v>1</v>
      </c>
      <c r="Y24" s="1">
        <v>45202</v>
      </c>
      <c r="Z24">
        <v>61.5</v>
      </c>
      <c r="AA24" t="str">
        <f>_xlfn.IFNA(_xlfn.IFS(Z24&gt;Dash!$E$46, "Big", Z24&lt;Dash!$E$49, "Small", Z24&gt;Dash!$E$47, "Good"), "Norm")</f>
        <v>Norm</v>
      </c>
      <c r="AB24">
        <v>146.25</v>
      </c>
      <c r="AC24" t="str">
        <f>_xlfn.IFNA(_xlfn.IFS(AB24&gt;Dash!$F$46, "Big", AB24&lt;Dash!$F$49, "Small", AB24&gt;Dash!$F$47, "Good"), "Norm")</f>
        <v>Good</v>
      </c>
      <c r="AD24">
        <v>264.25</v>
      </c>
      <c r="AE24" t="str">
        <f>_xlfn.IFNA(_xlfn.IFS(AD24&gt;Dash!$G$46, "Big", AD24&lt;Dash!$G$49, "Small", AD24&gt;Dash!$G$47, "Good"), "Norm")</f>
        <v>Good</v>
      </c>
      <c r="AF24">
        <v>133.5</v>
      </c>
      <c r="AG24" t="str">
        <f>_xlfn.IFNA(_xlfn.IFS(AF24&gt;Dash!$H$46, "Big", AF24&lt;Dash!$H$49, "Small", AF24&gt;Dash!$H$47, "Good"), "Norm")</f>
        <v>Norm</v>
      </c>
      <c r="AH24">
        <v>24</v>
      </c>
      <c r="AI24" t="str">
        <f>_xlfn.IFNA(_xlfn.IFS(AH24&gt;Dash!$I$46, "Big", AH24&lt;Dash!$I$49, "Small", AH24&gt;Dash!$I$47, "Good"), "Norm")</f>
        <v>Norm</v>
      </c>
    </row>
    <row r="25" spans="1:35" x14ac:dyDescent="0.25">
      <c r="A25" s="1">
        <v>45203</v>
      </c>
      <c r="B25" t="s">
        <v>18</v>
      </c>
      <c r="C25" t="s">
        <v>20</v>
      </c>
      <c r="D25" t="s">
        <v>46</v>
      </c>
      <c r="E25">
        <v>221.5</v>
      </c>
      <c r="F25">
        <v>2300</v>
      </c>
      <c r="G25">
        <v>2300</v>
      </c>
      <c r="J25" t="s">
        <v>37</v>
      </c>
      <c r="K25" t="s">
        <v>39</v>
      </c>
      <c r="L25" t="s">
        <v>32</v>
      </c>
      <c r="M25" t="s">
        <v>23</v>
      </c>
      <c r="N25">
        <v>9</v>
      </c>
      <c r="P25">
        <v>1400</v>
      </c>
      <c r="Q25">
        <v>1500</v>
      </c>
      <c r="R25" t="s">
        <v>33</v>
      </c>
      <c r="S25" t="s">
        <v>43</v>
      </c>
      <c r="T25">
        <v>242.5</v>
      </c>
      <c r="U25" t="str">
        <f>_xlfn.IFNA(_xlfn.IFS(E25&gt;Dash!$D$46, "Big", E25&lt;Dash!$D$49, "Small", E25&gt;Dash!$D$47, "Good"), "Norm")</f>
        <v>Norm</v>
      </c>
      <c r="V25" t="s">
        <v>20</v>
      </c>
      <c r="W25">
        <v>323.25</v>
      </c>
      <c r="X25" t="s">
        <v>14</v>
      </c>
      <c r="Y25" s="1">
        <v>45203</v>
      </c>
      <c r="Z25">
        <v>96.75</v>
      </c>
      <c r="AA25" t="str">
        <f>_xlfn.IFNA(_xlfn.IFS(Z25&gt;Dash!$E$46, "Big", Z25&lt;Dash!$E$49, "Small", Z25&gt;Dash!$E$47, "Good"), "Norm")</f>
        <v>Good</v>
      </c>
      <c r="AB25">
        <v>164.75</v>
      </c>
      <c r="AC25" t="str">
        <f>_xlfn.IFNA(_xlfn.IFS(AB25&gt;Dash!$F$46, "Big", AB25&lt;Dash!$F$49, "Small", AB25&gt;Dash!$F$47, "Good"), "Norm")</f>
        <v>Big</v>
      </c>
      <c r="AD25">
        <v>163</v>
      </c>
      <c r="AE25" t="str">
        <f>_xlfn.IFNA(_xlfn.IFS(AD25&gt;Dash!$G$46, "Big", AD25&lt;Dash!$G$49, "Small", AD25&gt;Dash!$G$47, "Good"), "Norm")</f>
        <v>Norm</v>
      </c>
      <c r="AF25">
        <v>152</v>
      </c>
      <c r="AG25" t="str">
        <f>_xlfn.IFNA(_xlfn.IFS(AF25&gt;Dash!$H$46, "Big", AF25&lt;Dash!$H$49, "Small", AF25&gt;Dash!$H$47, "Good"), "Norm")</f>
        <v>Good</v>
      </c>
      <c r="AH25">
        <v>18.25</v>
      </c>
      <c r="AI25" t="str">
        <f>_xlfn.IFNA(_xlfn.IFS(AH25&gt;Dash!$I$46, "Big", AH25&lt;Dash!$I$49, "Small", AH25&gt;Dash!$I$47, "Good"), "Norm")</f>
        <v>Small</v>
      </c>
    </row>
    <row r="26" spans="1:35" x14ac:dyDescent="0.25">
      <c r="A26" s="1">
        <v>45204</v>
      </c>
      <c r="B26" t="s">
        <v>36</v>
      </c>
      <c r="C26" t="s">
        <v>33</v>
      </c>
      <c r="D26" t="s">
        <v>43</v>
      </c>
      <c r="E26">
        <v>242.5</v>
      </c>
      <c r="F26">
        <v>800</v>
      </c>
      <c r="G26">
        <v>800</v>
      </c>
      <c r="J26" t="s">
        <v>27</v>
      </c>
      <c r="K26" t="s">
        <v>35</v>
      </c>
      <c r="L26" t="s">
        <v>25</v>
      </c>
      <c r="M26" t="s">
        <v>23</v>
      </c>
      <c r="N26">
        <v>9</v>
      </c>
      <c r="P26">
        <v>1100</v>
      </c>
      <c r="Q26">
        <v>1400</v>
      </c>
      <c r="R26" t="s">
        <v>33</v>
      </c>
      <c r="S26" t="s">
        <v>38</v>
      </c>
      <c r="T26">
        <v>500.25</v>
      </c>
      <c r="U26" t="str">
        <f>_xlfn.IFNA(_xlfn.IFS(E26&gt;Dash!$D$46, "Big", E26&lt;Dash!$D$49, "Small", E26&gt;Dash!$D$47, "Good"), "Norm")</f>
        <v>Norm</v>
      </c>
      <c r="V26" t="s">
        <v>20</v>
      </c>
      <c r="W26">
        <v>221.5</v>
      </c>
      <c r="X26" t="s">
        <v>46</v>
      </c>
      <c r="Y26" s="1">
        <v>45204</v>
      </c>
      <c r="Z26">
        <v>57.25</v>
      </c>
      <c r="AA26" t="str">
        <f>_xlfn.IFNA(_xlfn.IFS(Z26&gt;Dash!$E$46, "Big", Z26&lt;Dash!$E$49, "Small", Z26&gt;Dash!$E$47, "Good"), "Norm")</f>
        <v>Norm</v>
      </c>
      <c r="AB26">
        <v>97</v>
      </c>
      <c r="AC26" t="str">
        <f>_xlfn.IFNA(_xlfn.IFS(AB26&gt;Dash!$F$46, "Big", AB26&lt;Dash!$F$49, "Small", AB26&gt;Dash!$F$47, "Good"), "Norm")</f>
        <v>Good</v>
      </c>
      <c r="AD26">
        <v>242.5</v>
      </c>
      <c r="AE26" t="str">
        <f>_xlfn.IFNA(_xlfn.IFS(AD26&gt;Dash!$G$46, "Big", AD26&lt;Dash!$G$49, "Small", AD26&gt;Dash!$G$47, "Good"), "Norm")</f>
        <v>Good</v>
      </c>
      <c r="AF26">
        <v>147</v>
      </c>
      <c r="AG26" t="str">
        <f>_xlfn.IFNA(_xlfn.IFS(AF26&gt;Dash!$H$46, "Big", AF26&lt;Dash!$H$49, "Small", AF26&gt;Dash!$H$47, "Good"), "Norm")</f>
        <v>Norm</v>
      </c>
      <c r="AH26">
        <v>22</v>
      </c>
      <c r="AI26" t="str">
        <f>_xlfn.IFNA(_xlfn.IFS(AH26&gt;Dash!$I$46, "Big", AH26&lt;Dash!$I$49, "Small", AH26&gt;Dash!$I$47, "Good"), "Norm")</f>
        <v>Norm</v>
      </c>
    </row>
    <row r="27" spans="1:35" x14ac:dyDescent="0.25">
      <c r="A27" s="1">
        <v>45205</v>
      </c>
      <c r="B27" t="s">
        <v>26</v>
      </c>
      <c r="C27" t="s">
        <v>33</v>
      </c>
      <c r="D27" t="s">
        <v>38</v>
      </c>
      <c r="E27">
        <v>500.25</v>
      </c>
      <c r="F27">
        <v>800</v>
      </c>
      <c r="G27">
        <v>900</v>
      </c>
      <c r="H27">
        <v>1100</v>
      </c>
      <c r="J27" t="s">
        <v>45</v>
      </c>
      <c r="K27" t="s">
        <v>25</v>
      </c>
      <c r="L27" t="s">
        <v>35</v>
      </c>
      <c r="M27" t="s">
        <v>23</v>
      </c>
      <c r="N27">
        <v>9</v>
      </c>
      <c r="P27">
        <v>800</v>
      </c>
      <c r="Q27">
        <v>1500</v>
      </c>
      <c r="R27" t="s">
        <v>33</v>
      </c>
      <c r="S27" t="s">
        <v>28</v>
      </c>
      <c r="T27">
        <v>263.25</v>
      </c>
      <c r="U27" t="str">
        <f>_xlfn.IFNA(_xlfn.IFS(E27&gt;Dash!$D$46, "Big", E27&lt;Dash!$D$49, "Small", E27&gt;Dash!$D$47, "Good"), "Norm")</f>
        <v>Big</v>
      </c>
      <c r="V27" t="s">
        <v>33</v>
      </c>
      <c r="W27">
        <v>242.5</v>
      </c>
      <c r="X27" t="s">
        <v>43</v>
      </c>
      <c r="Y27" s="1">
        <v>45205</v>
      </c>
      <c r="Z27">
        <v>41.25</v>
      </c>
      <c r="AA27" t="str">
        <f>_xlfn.IFNA(_xlfn.IFS(Z27&gt;Dash!$E$46, "Big", Z27&lt;Dash!$E$49, "Small", Z27&gt;Dash!$E$47, "Good"), "Norm")</f>
        <v>Small</v>
      </c>
      <c r="AB27">
        <v>85.75</v>
      </c>
      <c r="AC27" t="str">
        <f>_xlfn.IFNA(_xlfn.IFS(AB27&gt;Dash!$F$46, "Big", AB27&lt;Dash!$F$49, "Small", AB27&gt;Dash!$F$47, "Good"), "Norm")</f>
        <v>Norm</v>
      </c>
      <c r="AD27">
        <v>388.5</v>
      </c>
      <c r="AE27" t="str">
        <f>_xlfn.IFNA(_xlfn.IFS(AD27&gt;Dash!$G$46, "Big", AD27&lt;Dash!$G$49, "Small", AD27&gt;Dash!$G$47, "Good"), "Norm")</f>
        <v>Big</v>
      </c>
      <c r="AF27">
        <v>141</v>
      </c>
      <c r="AG27" t="str">
        <f>_xlfn.IFNA(_xlfn.IFS(AF27&gt;Dash!$H$46, "Big", AF27&lt;Dash!$H$49, "Small", AF27&gt;Dash!$H$47, "Good"), "Norm")</f>
        <v>Norm</v>
      </c>
      <c r="AH27">
        <v>32.75</v>
      </c>
      <c r="AI27" t="str">
        <f>_xlfn.IFNA(_xlfn.IFS(AH27&gt;Dash!$I$46, "Big", AH27&lt;Dash!$I$49, "Small", AH27&gt;Dash!$I$47, "Good"), "Norm")</f>
        <v>Norm</v>
      </c>
    </row>
    <row r="28" spans="1:35" x14ac:dyDescent="0.25">
      <c r="A28" s="1">
        <v>45208</v>
      </c>
      <c r="B28" t="s">
        <v>23</v>
      </c>
      <c r="C28" t="s">
        <v>33</v>
      </c>
      <c r="D28" t="s">
        <v>28</v>
      </c>
      <c r="E28">
        <v>263.25</v>
      </c>
      <c r="F28">
        <v>1300</v>
      </c>
      <c r="J28" t="s">
        <v>49</v>
      </c>
      <c r="K28" t="s">
        <v>25</v>
      </c>
      <c r="L28" t="s">
        <v>32</v>
      </c>
      <c r="M28" t="s">
        <v>18</v>
      </c>
      <c r="N28">
        <v>8</v>
      </c>
      <c r="P28">
        <v>1100</v>
      </c>
      <c r="Q28">
        <v>1400</v>
      </c>
      <c r="R28" t="s">
        <v>20</v>
      </c>
      <c r="S28" t="s">
        <v>28</v>
      </c>
      <c r="T28">
        <v>210</v>
      </c>
      <c r="U28" t="str">
        <f>_xlfn.IFNA(_xlfn.IFS(E28&gt;Dash!$D$46, "Big", E28&lt;Dash!$D$49, "Small", E28&gt;Dash!$D$47, "Good"), "Norm")</f>
        <v>Good</v>
      </c>
      <c r="V28" t="s">
        <v>33</v>
      </c>
      <c r="W28">
        <v>500.25</v>
      </c>
      <c r="X28" t="s">
        <v>38</v>
      </c>
      <c r="Y28" s="1">
        <v>45208</v>
      </c>
      <c r="Z28">
        <v>61.75</v>
      </c>
      <c r="AA28" t="str">
        <f>_xlfn.IFNA(_xlfn.IFS(Z28&gt;Dash!$E$46, "Big", Z28&lt;Dash!$E$49, "Small", Z28&gt;Dash!$E$47, "Good"), "Norm")</f>
        <v>Norm</v>
      </c>
      <c r="AB28">
        <v>61.5</v>
      </c>
      <c r="AC28" t="str">
        <f>_xlfn.IFNA(_xlfn.IFS(AB28&gt;Dash!$F$46, "Big", AB28&lt;Dash!$F$49, "Small", AB28&gt;Dash!$F$47, "Good"), "Norm")</f>
        <v>Norm</v>
      </c>
      <c r="AD28">
        <v>117.25</v>
      </c>
      <c r="AE28" t="str">
        <f>_xlfn.IFNA(_xlfn.IFS(AD28&gt;Dash!$G$46, "Big", AD28&lt;Dash!$G$49, "Small", AD28&gt;Dash!$G$47, "Good"), "Norm")</f>
        <v>Norm</v>
      </c>
      <c r="AF28">
        <v>169.5</v>
      </c>
      <c r="AG28" t="str">
        <f>_xlfn.IFNA(_xlfn.IFS(AF28&gt;Dash!$H$46, "Big", AF28&lt;Dash!$H$49, "Small", AF28&gt;Dash!$H$47, "Good"), "Norm")</f>
        <v>Good</v>
      </c>
      <c r="AH28">
        <v>14.75</v>
      </c>
      <c r="AI28" t="str">
        <f>_xlfn.IFNA(_xlfn.IFS(AH28&gt;Dash!$I$46, "Big", AH28&lt;Dash!$I$49, "Small", AH28&gt;Dash!$I$47, "Good"), "Norm")</f>
        <v>Small</v>
      </c>
    </row>
    <row r="29" spans="1:35" x14ac:dyDescent="0.25">
      <c r="A29" s="1">
        <v>45209</v>
      </c>
      <c r="B29" t="s">
        <v>19</v>
      </c>
      <c r="C29" t="s">
        <v>20</v>
      </c>
      <c r="D29" t="s">
        <v>28</v>
      </c>
      <c r="E29">
        <v>210</v>
      </c>
      <c r="F29">
        <v>2000</v>
      </c>
      <c r="G29">
        <v>2200</v>
      </c>
      <c r="J29" t="s">
        <v>29</v>
      </c>
      <c r="K29" t="s">
        <v>39</v>
      </c>
      <c r="L29" t="s">
        <v>35</v>
      </c>
      <c r="M29" t="s">
        <v>18</v>
      </c>
      <c r="N29">
        <v>8</v>
      </c>
      <c r="P29">
        <v>1100</v>
      </c>
      <c r="Q29">
        <v>1300</v>
      </c>
      <c r="R29" t="s">
        <v>33</v>
      </c>
      <c r="S29" t="s">
        <v>28</v>
      </c>
      <c r="T29">
        <v>134.25</v>
      </c>
      <c r="U29" t="str">
        <f>_xlfn.IFNA(_xlfn.IFS(E29&gt;Dash!$D$46, "Big", E29&lt;Dash!$D$49, "Small", E29&gt;Dash!$D$47, "Good"), "Norm")</f>
        <v>Norm</v>
      </c>
      <c r="V29" t="s">
        <v>33</v>
      </c>
      <c r="W29">
        <v>263.25</v>
      </c>
      <c r="X29" t="s">
        <v>28</v>
      </c>
      <c r="Y29" s="1">
        <v>45209</v>
      </c>
      <c r="Z29">
        <v>49.75</v>
      </c>
      <c r="AA29" t="str">
        <f>_xlfn.IFNA(_xlfn.IFS(Z29&gt;Dash!$E$46, "Big", Z29&lt;Dash!$E$49, "Small", Z29&gt;Dash!$E$47, "Good"), "Norm")</f>
        <v>Norm</v>
      </c>
      <c r="AB29">
        <v>67.5</v>
      </c>
      <c r="AC29" t="str">
        <f>_xlfn.IFNA(_xlfn.IFS(AB29&gt;Dash!$F$46, "Big", AB29&lt;Dash!$F$49, "Small", AB29&gt;Dash!$F$47, "Good"), "Norm")</f>
        <v>Norm</v>
      </c>
      <c r="AD29">
        <v>210</v>
      </c>
      <c r="AE29" t="str">
        <f>_xlfn.IFNA(_xlfn.IFS(AD29&gt;Dash!$G$46, "Big", AD29&lt;Dash!$G$49, "Small", AD29&gt;Dash!$G$47, "Good"), "Norm")</f>
        <v>Good</v>
      </c>
      <c r="AF29">
        <v>121</v>
      </c>
      <c r="AG29" t="str">
        <f>_xlfn.IFNA(_xlfn.IFS(AF29&gt;Dash!$H$46, "Big", AF29&lt;Dash!$H$49, "Small", AF29&gt;Dash!$H$47, "Good"), "Norm")</f>
        <v>Norm</v>
      </c>
      <c r="AH29">
        <v>18.75</v>
      </c>
      <c r="AI29" t="str">
        <f>_xlfn.IFNA(_xlfn.IFS(AH29&gt;Dash!$I$46, "Big", AH29&lt;Dash!$I$49, "Small", AH29&gt;Dash!$I$47, "Good"), "Norm")</f>
        <v>Small</v>
      </c>
    </row>
    <row r="30" spans="1:35" x14ac:dyDescent="0.25">
      <c r="A30" s="1">
        <v>45210</v>
      </c>
      <c r="B30" t="s">
        <v>18</v>
      </c>
      <c r="C30" t="s">
        <v>33</v>
      </c>
      <c r="D30" t="s">
        <v>28</v>
      </c>
      <c r="E30">
        <v>134.25</v>
      </c>
      <c r="F30">
        <v>900</v>
      </c>
      <c r="G30">
        <v>900</v>
      </c>
      <c r="J30" t="s">
        <v>27</v>
      </c>
      <c r="K30" t="s">
        <v>35</v>
      </c>
      <c r="L30" t="s">
        <v>17</v>
      </c>
      <c r="M30" t="s">
        <v>18</v>
      </c>
      <c r="N30">
        <v>8</v>
      </c>
      <c r="P30">
        <v>1300</v>
      </c>
      <c r="Q30">
        <v>1600</v>
      </c>
      <c r="R30" t="s">
        <v>33</v>
      </c>
      <c r="S30" t="s">
        <v>43</v>
      </c>
      <c r="T30">
        <v>252.5</v>
      </c>
      <c r="U30" t="str">
        <f>_xlfn.IFNA(_xlfn.IFS(E30&gt;Dash!$D$46, "Big", E30&lt;Dash!$D$49, "Small", E30&gt;Dash!$D$47, "Good"), "Norm")</f>
        <v>Small</v>
      </c>
      <c r="V30" t="s">
        <v>20</v>
      </c>
      <c r="W30">
        <v>210</v>
      </c>
      <c r="X30" t="s">
        <v>28</v>
      </c>
      <c r="Y30" s="1">
        <v>45210</v>
      </c>
      <c r="Z30">
        <v>29.5</v>
      </c>
      <c r="AA30" t="str">
        <f>_xlfn.IFNA(_xlfn.IFS(Z30&gt;Dash!$E$46, "Big", Z30&lt;Dash!$E$49, "Small", Z30&gt;Dash!$E$47, "Good"), "Norm")</f>
        <v>Small</v>
      </c>
      <c r="AB30">
        <v>72.5</v>
      </c>
      <c r="AC30" t="str">
        <f>_xlfn.IFNA(_xlfn.IFS(AB30&gt;Dash!$F$46, "Big", AB30&lt;Dash!$F$49, "Small", AB30&gt;Dash!$F$47, "Good"), "Norm")</f>
        <v>Norm</v>
      </c>
      <c r="AD30">
        <v>103</v>
      </c>
      <c r="AE30" t="str">
        <f>_xlfn.IFNA(_xlfn.IFS(AD30&gt;Dash!$G$46, "Big", AD30&lt;Dash!$G$49, "Small", AD30&gt;Dash!$G$47, "Good"), "Norm")</f>
        <v>Small</v>
      </c>
      <c r="AF30">
        <v>132.5</v>
      </c>
      <c r="AG30" t="str">
        <f>_xlfn.IFNA(_xlfn.IFS(AF30&gt;Dash!$H$46, "Big", AF30&lt;Dash!$H$49, "Small", AF30&gt;Dash!$H$47, "Good"), "Norm")</f>
        <v>Norm</v>
      </c>
      <c r="AH30">
        <v>42.5</v>
      </c>
      <c r="AI30" t="str">
        <f>_xlfn.IFNA(_xlfn.IFS(AH30&gt;Dash!$I$46, "Big", AH30&lt;Dash!$I$49, "Small", AH30&gt;Dash!$I$47, "Good"), "Norm")</f>
        <v>Good</v>
      </c>
    </row>
    <row r="31" spans="1:35" x14ac:dyDescent="0.25">
      <c r="A31" s="1">
        <v>45211</v>
      </c>
      <c r="B31" t="s">
        <v>36</v>
      </c>
      <c r="C31" t="s">
        <v>33</v>
      </c>
      <c r="D31" t="s">
        <v>43</v>
      </c>
      <c r="E31">
        <v>252.5</v>
      </c>
      <c r="F31">
        <v>2000</v>
      </c>
      <c r="G31">
        <v>2200</v>
      </c>
      <c r="J31" t="s">
        <v>29</v>
      </c>
      <c r="K31" t="s">
        <v>32</v>
      </c>
      <c r="L31" t="s">
        <v>17</v>
      </c>
      <c r="M31" t="s">
        <v>18</v>
      </c>
      <c r="N31">
        <v>8</v>
      </c>
      <c r="P31">
        <v>1400</v>
      </c>
      <c r="Q31">
        <v>1500</v>
      </c>
      <c r="R31" t="s">
        <v>33</v>
      </c>
      <c r="S31" t="s">
        <v>14</v>
      </c>
      <c r="T31">
        <v>304.5</v>
      </c>
      <c r="U31" t="str">
        <f>_xlfn.IFNA(_xlfn.IFS(E31&gt;Dash!$D$46, "Big", E31&lt;Dash!$D$49, "Small", E31&gt;Dash!$D$47, "Good"), "Norm")</f>
        <v>Norm</v>
      </c>
      <c r="V31" t="s">
        <v>33</v>
      </c>
      <c r="W31">
        <v>134.25</v>
      </c>
      <c r="X31" t="s">
        <v>28</v>
      </c>
      <c r="Y31" s="1">
        <v>45211</v>
      </c>
      <c r="Z31">
        <v>33.25</v>
      </c>
      <c r="AA31" t="str">
        <f>_xlfn.IFNA(_xlfn.IFS(Z31&gt;Dash!$E$46, "Big", Z31&lt;Dash!$E$49, "Small", Z31&gt;Dash!$E$47, "Good"), "Norm")</f>
        <v>Small</v>
      </c>
      <c r="AB31">
        <v>34.5</v>
      </c>
      <c r="AC31" t="str">
        <f>_xlfn.IFNA(_xlfn.IFS(AB31&gt;Dash!$F$46, "Big", AB31&lt;Dash!$F$49, "Small", AB31&gt;Dash!$F$47, "Good"), "Norm")</f>
        <v>Small</v>
      </c>
      <c r="AD31">
        <v>105.5</v>
      </c>
      <c r="AE31" t="str">
        <f>_xlfn.IFNA(_xlfn.IFS(AD31&gt;Dash!$G$46, "Big", AD31&lt;Dash!$G$49, "Small", AD31&gt;Dash!$G$47, "Good"), "Norm")</f>
        <v>Small</v>
      </c>
      <c r="AF31">
        <v>252.5</v>
      </c>
      <c r="AG31" t="str">
        <f>_xlfn.IFNA(_xlfn.IFS(AF31&gt;Dash!$H$46, "Big", AF31&lt;Dash!$H$49, "Small", AF31&gt;Dash!$H$47, "Good"), "Norm")</f>
        <v>Big</v>
      </c>
      <c r="AH31">
        <v>16.75</v>
      </c>
      <c r="AI31" t="str">
        <f>_xlfn.IFNA(_xlfn.IFS(AH31&gt;Dash!$I$46, "Big", AH31&lt;Dash!$I$49, "Small", AH31&gt;Dash!$I$47, "Good"), "Norm")</f>
        <v>Small</v>
      </c>
    </row>
    <row r="32" spans="1:35" x14ac:dyDescent="0.25">
      <c r="A32" s="1">
        <v>45212</v>
      </c>
      <c r="B32" t="s">
        <v>26</v>
      </c>
      <c r="C32" t="s">
        <v>33</v>
      </c>
      <c r="D32" t="s">
        <v>14</v>
      </c>
      <c r="E32">
        <v>304.5</v>
      </c>
      <c r="F32">
        <v>1000</v>
      </c>
      <c r="J32" t="s">
        <v>45</v>
      </c>
      <c r="K32" t="s">
        <v>35</v>
      </c>
      <c r="L32" t="s">
        <v>17</v>
      </c>
      <c r="M32" t="s">
        <v>18</v>
      </c>
      <c r="N32">
        <v>8</v>
      </c>
      <c r="P32">
        <v>1300</v>
      </c>
      <c r="Q32">
        <v>1500</v>
      </c>
      <c r="R32" t="s">
        <v>20</v>
      </c>
      <c r="S32">
        <v>1</v>
      </c>
      <c r="T32">
        <v>211.75</v>
      </c>
      <c r="U32" t="str">
        <f>_xlfn.IFNA(_xlfn.IFS(E32&gt;Dash!$D$46, "Big", E32&lt;Dash!$D$49, "Small", E32&gt;Dash!$D$47, "Good"), "Norm")</f>
        <v>Good</v>
      </c>
      <c r="V32" t="s">
        <v>33</v>
      </c>
      <c r="W32">
        <v>252.5</v>
      </c>
      <c r="X32" t="s">
        <v>43</v>
      </c>
      <c r="Y32" s="1">
        <v>45212</v>
      </c>
      <c r="Z32">
        <v>32.25</v>
      </c>
      <c r="AA32" t="str">
        <f>_xlfn.IFNA(_xlfn.IFS(Z32&gt;Dash!$E$46, "Big", Z32&lt;Dash!$E$49, "Small", Z32&gt;Dash!$E$47, "Good"), "Norm")</f>
        <v>Small</v>
      </c>
      <c r="AB32">
        <v>123.25</v>
      </c>
      <c r="AC32" t="str">
        <f>_xlfn.IFNA(_xlfn.IFS(AB32&gt;Dash!$F$46, "Big", AB32&lt;Dash!$F$49, "Small", AB32&gt;Dash!$F$47, "Good"), "Norm")</f>
        <v>Good</v>
      </c>
      <c r="AD32">
        <v>257.5</v>
      </c>
      <c r="AE32" t="str">
        <f>_xlfn.IFNA(_xlfn.IFS(AD32&gt;Dash!$G$46, "Big", AD32&lt;Dash!$G$49, "Small", AD32&gt;Dash!$G$47, "Good"), "Norm")</f>
        <v>Good</v>
      </c>
      <c r="AF32">
        <v>138.5</v>
      </c>
      <c r="AG32" t="str">
        <f>_xlfn.IFNA(_xlfn.IFS(AF32&gt;Dash!$H$46, "Big", AF32&lt;Dash!$H$49, "Small", AF32&gt;Dash!$H$47, "Good"), "Norm")</f>
        <v>Norm</v>
      </c>
      <c r="AH32">
        <v>22.25</v>
      </c>
      <c r="AI32" t="str">
        <f>_xlfn.IFNA(_xlfn.IFS(AH32&gt;Dash!$I$46, "Big", AH32&lt;Dash!$I$49, "Small", AH32&gt;Dash!$I$47, "Good"), "Norm")</f>
        <v>Norm</v>
      </c>
    </row>
    <row r="33" spans="1:35" x14ac:dyDescent="0.25">
      <c r="A33" s="1">
        <v>45215</v>
      </c>
      <c r="B33" t="s">
        <v>23</v>
      </c>
      <c r="C33" t="s">
        <v>20</v>
      </c>
      <c r="D33">
        <v>1</v>
      </c>
      <c r="E33">
        <v>211.75</v>
      </c>
      <c r="J33" t="s">
        <v>34</v>
      </c>
      <c r="K33" t="s">
        <v>39</v>
      </c>
      <c r="L33" t="s">
        <v>32</v>
      </c>
      <c r="M33" t="s">
        <v>23</v>
      </c>
      <c r="N33">
        <v>5</v>
      </c>
      <c r="P33">
        <v>1300</v>
      </c>
      <c r="Q33">
        <v>1500</v>
      </c>
      <c r="R33" t="s">
        <v>33</v>
      </c>
      <c r="S33" t="s">
        <v>14</v>
      </c>
      <c r="T33">
        <v>259</v>
      </c>
      <c r="U33" t="str">
        <f>_xlfn.IFNA(_xlfn.IFS(E33&gt;Dash!$D$46, "Big", E33&lt;Dash!$D$49, "Small", E33&gt;Dash!$D$47, "Good"), "Norm")</f>
        <v>Norm</v>
      </c>
      <c r="V33" t="s">
        <v>33</v>
      </c>
      <c r="W33">
        <v>304.5</v>
      </c>
      <c r="X33" t="s">
        <v>14</v>
      </c>
      <c r="Y33" s="1">
        <v>45215</v>
      </c>
      <c r="Z33">
        <v>67.5</v>
      </c>
      <c r="AA33" t="str">
        <f>_xlfn.IFNA(_xlfn.IFS(Z33&gt;Dash!$E$46, "Big", Z33&lt;Dash!$E$49, "Small", Z33&gt;Dash!$E$47, "Good"), "Norm")</f>
        <v>Norm</v>
      </c>
      <c r="AB33">
        <v>102.25</v>
      </c>
      <c r="AC33" t="str">
        <f>_xlfn.IFNA(_xlfn.IFS(AB33&gt;Dash!$F$46, "Big", AB33&lt;Dash!$F$49, "Small", AB33&gt;Dash!$F$47, "Good"), "Norm")</f>
        <v>Good</v>
      </c>
      <c r="AD33">
        <v>200.75</v>
      </c>
      <c r="AE33" t="str">
        <f>_xlfn.IFNA(_xlfn.IFS(AD33&gt;Dash!$G$46, "Big", AD33&lt;Dash!$G$49, "Small", AD33&gt;Dash!$G$47, "Good"), "Norm")</f>
        <v>Good</v>
      </c>
      <c r="AF33">
        <v>124.75</v>
      </c>
      <c r="AG33" t="str">
        <f>_xlfn.IFNA(_xlfn.IFS(AF33&gt;Dash!$H$46, "Big", AF33&lt;Dash!$H$49, "Small", AF33&gt;Dash!$H$47, "Good"), "Norm")</f>
        <v>Norm</v>
      </c>
      <c r="AH33">
        <v>27.75</v>
      </c>
      <c r="AI33" t="str">
        <f>_xlfn.IFNA(_xlfn.IFS(AH33&gt;Dash!$I$46, "Big", AH33&lt;Dash!$I$49, "Small", AH33&gt;Dash!$I$47, "Good"), "Norm")</f>
        <v>Norm</v>
      </c>
    </row>
    <row r="34" spans="1:35" x14ac:dyDescent="0.25">
      <c r="A34" s="1">
        <v>45216</v>
      </c>
      <c r="B34" t="s">
        <v>19</v>
      </c>
      <c r="C34" t="s">
        <v>33</v>
      </c>
      <c r="D34" t="s">
        <v>14</v>
      </c>
      <c r="E34">
        <v>259</v>
      </c>
      <c r="F34">
        <v>900</v>
      </c>
      <c r="G34">
        <v>1000</v>
      </c>
      <c r="J34" t="s">
        <v>45</v>
      </c>
      <c r="K34" t="s">
        <v>25</v>
      </c>
      <c r="L34" t="s">
        <v>32</v>
      </c>
      <c r="M34" t="s">
        <v>23</v>
      </c>
      <c r="N34">
        <v>5</v>
      </c>
      <c r="P34">
        <v>1200</v>
      </c>
      <c r="Q34">
        <v>1500</v>
      </c>
      <c r="R34" t="s">
        <v>13</v>
      </c>
      <c r="S34" t="s">
        <v>14</v>
      </c>
      <c r="T34">
        <v>244.5</v>
      </c>
      <c r="U34" t="str">
        <f>_xlfn.IFNA(_xlfn.IFS(E34&gt;Dash!$D$46, "Big", E34&lt;Dash!$D$49, "Small", E34&gt;Dash!$D$47, "Good"), "Norm")</f>
        <v>Good</v>
      </c>
      <c r="V34" t="s">
        <v>20</v>
      </c>
      <c r="W34">
        <v>211.75</v>
      </c>
      <c r="X34">
        <v>1</v>
      </c>
      <c r="Y34" s="1">
        <v>45216</v>
      </c>
      <c r="Z34">
        <v>43.75</v>
      </c>
      <c r="AA34" t="str">
        <f>_xlfn.IFNA(_xlfn.IFS(Z34&gt;Dash!$E$46, "Big", Z34&lt;Dash!$E$49, "Small", Z34&gt;Dash!$E$47, "Good"), "Norm")</f>
        <v>Norm</v>
      </c>
      <c r="AB34">
        <v>77.25</v>
      </c>
      <c r="AC34" t="str">
        <f>_xlfn.IFNA(_xlfn.IFS(AB34&gt;Dash!$F$46, "Big", AB34&lt;Dash!$F$49, "Small", AB34&gt;Dash!$F$47, "Good"), "Norm")</f>
        <v>Norm</v>
      </c>
      <c r="AD34">
        <v>233.25</v>
      </c>
      <c r="AE34" t="str">
        <f>_xlfn.IFNA(_xlfn.IFS(AD34&gt;Dash!$G$46, "Big", AD34&lt;Dash!$G$49, "Small", AD34&gt;Dash!$G$47, "Good"), "Norm")</f>
        <v>Good</v>
      </c>
      <c r="AF34">
        <v>131</v>
      </c>
      <c r="AG34" t="str">
        <f>_xlfn.IFNA(_xlfn.IFS(AF34&gt;Dash!$H$46, "Big", AF34&lt;Dash!$H$49, "Small", AF34&gt;Dash!$H$47, "Good"), "Norm")</f>
        <v>Norm</v>
      </c>
      <c r="AH34">
        <v>24</v>
      </c>
      <c r="AI34" t="str">
        <f>_xlfn.IFNA(_xlfn.IFS(AH34&gt;Dash!$I$46, "Big", AH34&lt;Dash!$I$49, "Small", AH34&gt;Dash!$I$47, "Good"), "Norm")</f>
        <v>Norm</v>
      </c>
    </row>
    <row r="35" spans="1:35" x14ac:dyDescent="0.25">
      <c r="A35" s="1">
        <v>45217</v>
      </c>
      <c r="B35" t="s">
        <v>18</v>
      </c>
      <c r="C35" t="s">
        <v>13</v>
      </c>
      <c r="D35" t="s">
        <v>14</v>
      </c>
      <c r="E35">
        <v>244.5</v>
      </c>
      <c r="F35">
        <v>1400</v>
      </c>
      <c r="G35">
        <v>1400</v>
      </c>
      <c r="J35" t="s">
        <v>21</v>
      </c>
      <c r="K35" t="s">
        <v>16</v>
      </c>
      <c r="L35" t="s">
        <v>17</v>
      </c>
      <c r="M35" t="s">
        <v>23</v>
      </c>
      <c r="N35">
        <v>5</v>
      </c>
      <c r="O35" t="s">
        <v>104</v>
      </c>
      <c r="P35">
        <v>1200</v>
      </c>
      <c r="Q35">
        <v>1500</v>
      </c>
      <c r="R35" t="s">
        <v>33</v>
      </c>
      <c r="S35" t="s">
        <v>43</v>
      </c>
      <c r="T35">
        <v>286</v>
      </c>
      <c r="U35" t="str">
        <f>_xlfn.IFNA(_xlfn.IFS(E35&gt;Dash!$D$46, "Big", E35&lt;Dash!$D$49, "Small", E35&gt;Dash!$D$47, "Good"), "Norm")</f>
        <v>Norm</v>
      </c>
      <c r="V35" t="s">
        <v>33</v>
      </c>
      <c r="W35">
        <v>259</v>
      </c>
      <c r="X35" t="s">
        <v>14</v>
      </c>
      <c r="Y35" s="1">
        <v>45217</v>
      </c>
      <c r="Z35">
        <v>52.75</v>
      </c>
      <c r="AA35" t="str">
        <f>_xlfn.IFNA(_xlfn.IFS(Z35&gt;Dash!$E$46, "Big", Z35&lt;Dash!$E$49, "Small", Z35&gt;Dash!$E$47, "Good"), "Norm")</f>
        <v>Norm</v>
      </c>
      <c r="AB35">
        <v>83.5</v>
      </c>
      <c r="AC35" t="str">
        <f>_xlfn.IFNA(_xlfn.IFS(AB35&gt;Dash!$F$46, "Big", AB35&lt;Dash!$F$49, "Small", AB35&gt;Dash!$F$47, "Good"), "Norm")</f>
        <v>Norm</v>
      </c>
      <c r="AD35">
        <v>130.75</v>
      </c>
      <c r="AE35" t="str">
        <f>_xlfn.IFNA(_xlfn.IFS(AD35&gt;Dash!$G$46, "Big", AD35&lt;Dash!$G$49, "Small", AD35&gt;Dash!$G$47, "Good"), "Norm")</f>
        <v>Norm</v>
      </c>
      <c r="AF35">
        <v>198</v>
      </c>
      <c r="AG35" t="str">
        <f>_xlfn.IFNA(_xlfn.IFS(AF35&gt;Dash!$H$46, "Big", AF35&lt;Dash!$H$49, "Small", AF35&gt;Dash!$H$47, "Good"), "Norm")</f>
        <v>Good</v>
      </c>
      <c r="AH35">
        <v>49.5</v>
      </c>
      <c r="AI35" t="str">
        <f>_xlfn.IFNA(_xlfn.IFS(AH35&gt;Dash!$I$46, "Big", AH35&lt;Dash!$I$49, "Small", AH35&gt;Dash!$I$47, "Good"), "Norm")</f>
        <v>Good</v>
      </c>
    </row>
    <row r="36" spans="1:35" x14ac:dyDescent="0.25">
      <c r="A36" s="1">
        <v>45218</v>
      </c>
      <c r="B36" t="s">
        <v>36</v>
      </c>
      <c r="C36" t="s">
        <v>33</v>
      </c>
      <c r="D36" t="s">
        <v>43</v>
      </c>
      <c r="E36">
        <v>286</v>
      </c>
      <c r="F36">
        <v>300</v>
      </c>
      <c r="G36">
        <v>400</v>
      </c>
      <c r="J36" t="s">
        <v>15</v>
      </c>
      <c r="K36" t="s">
        <v>32</v>
      </c>
      <c r="L36" t="s">
        <v>42</v>
      </c>
      <c r="M36" t="s">
        <v>23</v>
      </c>
      <c r="N36">
        <v>5</v>
      </c>
      <c r="P36">
        <v>1200</v>
      </c>
      <c r="Q36">
        <v>1600</v>
      </c>
      <c r="R36" t="s">
        <v>33</v>
      </c>
      <c r="S36" t="s">
        <v>14</v>
      </c>
      <c r="T36">
        <v>234.25</v>
      </c>
      <c r="U36" t="str">
        <f>_xlfn.IFNA(_xlfn.IFS(E36&gt;Dash!$D$46, "Big", E36&lt;Dash!$D$49, "Small", E36&gt;Dash!$D$47, "Good"), "Norm")</f>
        <v>Good</v>
      </c>
      <c r="V36" t="s">
        <v>13</v>
      </c>
      <c r="W36">
        <v>244.5</v>
      </c>
      <c r="X36" t="s">
        <v>14</v>
      </c>
      <c r="Y36" s="1">
        <v>45218</v>
      </c>
      <c r="Z36">
        <v>76.75</v>
      </c>
      <c r="AA36" t="str">
        <f>_xlfn.IFNA(_xlfn.IFS(Z36&gt;Dash!$E$46, "Big", Z36&lt;Dash!$E$49, "Small", Z36&gt;Dash!$E$47, "Good"), "Norm")</f>
        <v>Norm</v>
      </c>
      <c r="AB36">
        <v>132.5</v>
      </c>
      <c r="AC36" t="str">
        <f>_xlfn.IFNA(_xlfn.IFS(AB36&gt;Dash!$F$46, "Big", AB36&lt;Dash!$F$49, "Small", AB36&gt;Dash!$F$47, "Good"), "Norm")</f>
        <v>Good</v>
      </c>
      <c r="AD36">
        <v>142.75</v>
      </c>
      <c r="AE36" t="str">
        <f>_xlfn.IFNA(_xlfn.IFS(AD36&gt;Dash!$G$46, "Big", AD36&lt;Dash!$G$49, "Small", AD36&gt;Dash!$G$47, "Good"), "Norm")</f>
        <v>Norm</v>
      </c>
      <c r="AF36">
        <v>286</v>
      </c>
      <c r="AG36" t="str">
        <f>_xlfn.IFNA(_xlfn.IFS(AF36&gt;Dash!$H$46, "Big", AF36&lt;Dash!$H$49, "Small", AF36&gt;Dash!$H$47, "Good"), "Norm")</f>
        <v>Big</v>
      </c>
      <c r="AH36">
        <v>49.5</v>
      </c>
      <c r="AI36" t="str">
        <f>_xlfn.IFNA(_xlfn.IFS(AH36&gt;Dash!$I$46, "Big", AH36&lt;Dash!$I$49, "Small", AH36&gt;Dash!$I$47, "Good"), "Norm")</f>
        <v>Good</v>
      </c>
    </row>
    <row r="37" spans="1:35" x14ac:dyDescent="0.25">
      <c r="A37" s="1">
        <v>45219</v>
      </c>
      <c r="B37" t="s">
        <v>26</v>
      </c>
      <c r="C37" t="s">
        <v>33</v>
      </c>
      <c r="D37" t="s">
        <v>14</v>
      </c>
      <c r="E37">
        <v>234.25</v>
      </c>
      <c r="F37">
        <v>1800</v>
      </c>
      <c r="G37">
        <v>1900</v>
      </c>
      <c r="J37" t="s">
        <v>37</v>
      </c>
      <c r="K37" t="s">
        <v>35</v>
      </c>
      <c r="L37" t="s">
        <v>42</v>
      </c>
      <c r="M37" t="s">
        <v>23</v>
      </c>
      <c r="N37">
        <v>5</v>
      </c>
      <c r="O37" t="s">
        <v>61</v>
      </c>
      <c r="P37">
        <v>1300</v>
      </c>
      <c r="Q37">
        <v>1600</v>
      </c>
      <c r="R37" t="s">
        <v>33</v>
      </c>
      <c r="S37" t="s">
        <v>46</v>
      </c>
      <c r="T37">
        <v>339.5</v>
      </c>
      <c r="U37" t="str">
        <f>_xlfn.IFNA(_xlfn.IFS(E37&gt;Dash!$D$46, "Big", E37&lt;Dash!$D$49, "Small", E37&gt;Dash!$D$47, "Good"), "Norm")</f>
        <v>Norm</v>
      </c>
      <c r="V37" t="s">
        <v>33</v>
      </c>
      <c r="W37">
        <v>286</v>
      </c>
      <c r="X37" t="s">
        <v>43</v>
      </c>
      <c r="Y37" s="1">
        <v>45219</v>
      </c>
      <c r="Z37">
        <v>38.75</v>
      </c>
      <c r="AA37" t="str">
        <f>_xlfn.IFNA(_xlfn.IFS(Z37&gt;Dash!$E$46, "Big", Z37&lt;Dash!$E$49, "Small", Z37&gt;Dash!$E$47, "Good"), "Norm")</f>
        <v>Small</v>
      </c>
      <c r="AB37">
        <v>91.5</v>
      </c>
      <c r="AC37" t="str">
        <f>_xlfn.IFNA(_xlfn.IFS(AB37&gt;Dash!$F$46, "Big", AB37&lt;Dash!$F$49, "Small", AB37&gt;Dash!$F$47, "Good"), "Norm")</f>
        <v>Norm</v>
      </c>
      <c r="AD37">
        <v>225.75</v>
      </c>
      <c r="AE37" t="str">
        <f>_xlfn.IFNA(_xlfn.IFS(AD37&gt;Dash!$G$46, "Big", AD37&lt;Dash!$G$49, "Small", AD37&gt;Dash!$G$47, "Good"), "Norm")</f>
        <v>Good</v>
      </c>
      <c r="AF37">
        <v>151.5</v>
      </c>
      <c r="AG37" t="str">
        <f>_xlfn.IFNA(_xlfn.IFS(AF37&gt;Dash!$H$46, "Big", AF37&lt;Dash!$H$49, "Small", AF37&gt;Dash!$H$47, "Good"), "Norm")</f>
        <v>Good</v>
      </c>
      <c r="AH37">
        <v>24</v>
      </c>
      <c r="AI37" t="str">
        <f>_xlfn.IFNA(_xlfn.IFS(AH37&gt;Dash!$I$46, "Big", AH37&lt;Dash!$I$49, "Small", AH37&gt;Dash!$I$47, "Good"), "Norm")</f>
        <v>Norm</v>
      </c>
    </row>
    <row r="38" spans="1:35" x14ac:dyDescent="0.25">
      <c r="A38" s="1">
        <v>45222</v>
      </c>
      <c r="B38" t="s">
        <v>23</v>
      </c>
      <c r="C38" t="s">
        <v>33</v>
      </c>
      <c r="D38" t="s">
        <v>46</v>
      </c>
      <c r="E38">
        <v>339.5</v>
      </c>
      <c r="F38">
        <v>300</v>
      </c>
      <c r="G38">
        <v>1000</v>
      </c>
      <c r="J38" t="s">
        <v>15</v>
      </c>
      <c r="K38" t="s">
        <v>25</v>
      </c>
      <c r="L38" t="s">
        <v>32</v>
      </c>
      <c r="M38" t="s">
        <v>23</v>
      </c>
      <c r="N38">
        <v>7</v>
      </c>
      <c r="P38">
        <v>1300</v>
      </c>
      <c r="Q38">
        <v>1500</v>
      </c>
      <c r="R38" t="s">
        <v>33</v>
      </c>
      <c r="S38" t="s">
        <v>28</v>
      </c>
      <c r="T38">
        <v>172</v>
      </c>
      <c r="U38" t="str">
        <f>_xlfn.IFNA(_xlfn.IFS(E38&gt;Dash!$D$46, "Big", E38&lt;Dash!$D$49, "Small", E38&gt;Dash!$D$47, "Good"), "Norm")</f>
        <v>Good</v>
      </c>
      <c r="V38" t="s">
        <v>33</v>
      </c>
      <c r="W38">
        <v>234.25</v>
      </c>
      <c r="X38" t="s">
        <v>14</v>
      </c>
      <c r="Y38" s="1">
        <v>45222</v>
      </c>
      <c r="Z38">
        <v>53.5</v>
      </c>
      <c r="AA38" t="str">
        <f>_xlfn.IFNA(_xlfn.IFS(Z38&gt;Dash!$E$46, "Big", Z38&lt;Dash!$E$49, "Small", Z38&gt;Dash!$E$47, "Good"), "Norm")</f>
        <v>Norm</v>
      </c>
      <c r="AB38">
        <v>188.5</v>
      </c>
      <c r="AC38" t="str">
        <f>_xlfn.IFNA(_xlfn.IFS(AB38&gt;Dash!$F$46, "Big", AB38&lt;Dash!$F$49, "Small", AB38&gt;Dash!$F$47, "Good"), "Norm")</f>
        <v>Big</v>
      </c>
      <c r="AD38">
        <v>253</v>
      </c>
      <c r="AE38" t="str">
        <f>_xlfn.IFNA(_xlfn.IFS(AD38&gt;Dash!$G$46, "Big", AD38&lt;Dash!$G$49, "Small", AD38&gt;Dash!$G$47, "Good"), "Norm")</f>
        <v>Good</v>
      </c>
      <c r="AF38">
        <v>154.5</v>
      </c>
      <c r="AG38" t="str">
        <f>_xlfn.IFNA(_xlfn.IFS(AF38&gt;Dash!$H$46, "Big", AF38&lt;Dash!$H$49, "Small", AF38&gt;Dash!$H$47, "Good"), "Norm")</f>
        <v>Good</v>
      </c>
      <c r="AH38">
        <v>48.5</v>
      </c>
      <c r="AI38" t="str">
        <f>_xlfn.IFNA(_xlfn.IFS(AH38&gt;Dash!$I$46, "Big", AH38&lt;Dash!$I$49, "Small", AH38&gt;Dash!$I$47, "Good"), "Norm")</f>
        <v>Good</v>
      </c>
    </row>
    <row r="39" spans="1:35" x14ac:dyDescent="0.25">
      <c r="A39" s="1">
        <v>45223</v>
      </c>
      <c r="B39" t="s">
        <v>19</v>
      </c>
      <c r="C39" t="s">
        <v>33</v>
      </c>
      <c r="D39" t="s">
        <v>28</v>
      </c>
      <c r="E39">
        <v>172</v>
      </c>
      <c r="F39">
        <v>1000</v>
      </c>
      <c r="G39">
        <v>1000</v>
      </c>
      <c r="J39" t="s">
        <v>27</v>
      </c>
      <c r="K39" t="s">
        <v>35</v>
      </c>
      <c r="L39" t="s">
        <v>17</v>
      </c>
      <c r="M39" t="s">
        <v>23</v>
      </c>
      <c r="N39">
        <v>7</v>
      </c>
      <c r="O39" t="s">
        <v>64</v>
      </c>
      <c r="P39">
        <v>1200</v>
      </c>
      <c r="Q39">
        <v>1600</v>
      </c>
      <c r="R39" t="s">
        <v>13</v>
      </c>
      <c r="S39" t="s">
        <v>14</v>
      </c>
      <c r="T39">
        <v>339</v>
      </c>
      <c r="U39" t="str">
        <f>_xlfn.IFNA(_xlfn.IFS(E39&gt;Dash!$D$46, "Big", E39&lt;Dash!$D$49, "Small", E39&gt;Dash!$D$47, "Good"), "Norm")</f>
        <v>Norm</v>
      </c>
      <c r="V39" t="s">
        <v>33</v>
      </c>
      <c r="W39">
        <v>339.5</v>
      </c>
      <c r="X39" t="s">
        <v>46</v>
      </c>
      <c r="Y39" s="1">
        <v>45223</v>
      </c>
      <c r="Z39">
        <v>67.5</v>
      </c>
      <c r="AA39" t="str">
        <f>_xlfn.IFNA(_xlfn.IFS(Z39&gt;Dash!$E$46, "Big", Z39&lt;Dash!$E$49, "Small", Z39&gt;Dash!$E$47, "Good"), "Norm")</f>
        <v>Norm</v>
      </c>
      <c r="AB39">
        <v>84.5</v>
      </c>
      <c r="AC39" t="str">
        <f>_xlfn.IFNA(_xlfn.IFS(AB39&gt;Dash!$F$46, "Big", AB39&lt;Dash!$F$49, "Small", AB39&gt;Dash!$F$47, "Good"), "Norm")</f>
        <v>Norm</v>
      </c>
      <c r="AD39">
        <v>119.5</v>
      </c>
      <c r="AE39" t="str">
        <f>_xlfn.IFNA(_xlfn.IFS(AD39&gt;Dash!$G$46, "Big", AD39&lt;Dash!$G$49, "Small", AD39&gt;Dash!$G$47, "Good"), "Norm")</f>
        <v>Norm</v>
      </c>
      <c r="AF39">
        <v>154.75</v>
      </c>
      <c r="AG39" t="str">
        <f>_xlfn.IFNA(_xlfn.IFS(AF39&gt;Dash!$H$46, "Big", AF39&lt;Dash!$H$49, "Small", AF39&gt;Dash!$H$47, "Good"), "Norm")</f>
        <v>Good</v>
      </c>
      <c r="AH39">
        <v>134.75</v>
      </c>
      <c r="AI39" t="str">
        <f>_xlfn.IFNA(_xlfn.IFS(AH39&gt;Dash!$I$46, "Big", AH39&lt;Dash!$I$49, "Small", AH39&gt;Dash!$I$47, "Good"), "Norm")</f>
        <v>Big</v>
      </c>
    </row>
    <row r="40" spans="1:35" x14ac:dyDescent="0.25">
      <c r="A40" s="1">
        <v>45224</v>
      </c>
      <c r="B40" t="s">
        <v>18</v>
      </c>
      <c r="C40" t="s">
        <v>13</v>
      </c>
      <c r="D40" t="s">
        <v>14</v>
      </c>
      <c r="E40">
        <v>339</v>
      </c>
      <c r="F40">
        <v>900</v>
      </c>
      <c r="J40" t="s">
        <v>45</v>
      </c>
      <c r="K40" t="s">
        <v>16</v>
      </c>
      <c r="L40" t="s">
        <v>17</v>
      </c>
      <c r="M40" t="s">
        <v>19</v>
      </c>
      <c r="N40">
        <v>7</v>
      </c>
      <c r="O40" t="s">
        <v>68</v>
      </c>
      <c r="P40">
        <v>1100</v>
      </c>
      <c r="Q40">
        <v>1600</v>
      </c>
      <c r="R40" t="s">
        <v>33</v>
      </c>
      <c r="S40" t="s">
        <v>47</v>
      </c>
      <c r="T40">
        <v>318.75</v>
      </c>
      <c r="U40" t="str">
        <f>_xlfn.IFNA(_xlfn.IFS(E40&gt;Dash!$D$46, "Big", E40&lt;Dash!$D$49, "Small", E40&gt;Dash!$D$47, "Good"), "Norm")</f>
        <v>Good</v>
      </c>
      <c r="V40" t="s">
        <v>33</v>
      </c>
      <c r="W40">
        <v>172</v>
      </c>
      <c r="X40" t="s">
        <v>28</v>
      </c>
      <c r="Y40" s="1">
        <v>45224</v>
      </c>
      <c r="Z40">
        <v>94.75</v>
      </c>
      <c r="AA40" t="str">
        <f>_xlfn.IFNA(_xlfn.IFS(Z40&gt;Dash!$E$46, "Big", Z40&lt;Dash!$E$49, "Small", Z40&gt;Dash!$E$47, "Good"), "Norm")</f>
        <v>Good</v>
      </c>
      <c r="AB40">
        <v>70.75</v>
      </c>
      <c r="AC40" t="str">
        <f>_xlfn.IFNA(_xlfn.IFS(AB40&gt;Dash!$F$46, "Big", AB40&lt;Dash!$F$49, "Small", AB40&gt;Dash!$F$47, "Good"), "Norm")</f>
        <v>Norm</v>
      </c>
      <c r="AD40">
        <v>215</v>
      </c>
      <c r="AE40" t="str">
        <f>_xlfn.IFNA(_xlfn.IFS(AD40&gt;Dash!$G$46, "Big", AD40&lt;Dash!$G$49, "Small", AD40&gt;Dash!$G$47, "Good"), "Norm")</f>
        <v>Good</v>
      </c>
      <c r="AF40">
        <v>143.75</v>
      </c>
      <c r="AG40" t="str">
        <f>_xlfn.IFNA(_xlfn.IFS(AF40&gt;Dash!$H$46, "Big", AF40&lt;Dash!$H$49, "Small", AF40&gt;Dash!$H$47, "Good"), "Norm")</f>
        <v>Norm</v>
      </c>
      <c r="AH40">
        <v>90.25</v>
      </c>
      <c r="AI40" t="str">
        <f>_xlfn.IFNA(_xlfn.IFS(AH40&gt;Dash!$I$46, "Big", AH40&lt;Dash!$I$49, "Small", AH40&gt;Dash!$I$47, "Good"), "Norm")</f>
        <v>Big</v>
      </c>
    </row>
    <row r="41" spans="1:35" x14ac:dyDescent="0.25">
      <c r="A41" s="1">
        <v>45225</v>
      </c>
      <c r="B41" t="s">
        <v>36</v>
      </c>
      <c r="C41" t="s">
        <v>33</v>
      </c>
      <c r="D41" t="s">
        <v>47</v>
      </c>
      <c r="E41">
        <v>318.75</v>
      </c>
      <c r="F41">
        <v>1800</v>
      </c>
      <c r="J41" t="s">
        <v>27</v>
      </c>
      <c r="K41" t="s">
        <v>35</v>
      </c>
      <c r="L41" t="s">
        <v>17</v>
      </c>
      <c r="M41" t="s">
        <v>19</v>
      </c>
      <c r="N41">
        <v>7</v>
      </c>
      <c r="O41" t="s">
        <v>69</v>
      </c>
      <c r="P41">
        <v>1500</v>
      </c>
      <c r="Q41">
        <v>1500</v>
      </c>
      <c r="R41" t="s">
        <v>33</v>
      </c>
      <c r="S41">
        <v>1</v>
      </c>
      <c r="T41">
        <v>198</v>
      </c>
      <c r="U41" t="str">
        <f>_xlfn.IFNA(_xlfn.IFS(E41&gt;Dash!$D$46, "Big", E41&lt;Dash!$D$49, "Small", E41&gt;Dash!$D$47, "Good"), "Norm")</f>
        <v>Good</v>
      </c>
      <c r="V41" t="s">
        <v>13</v>
      </c>
      <c r="W41">
        <v>339</v>
      </c>
      <c r="X41" t="s">
        <v>14</v>
      </c>
      <c r="Y41" s="1">
        <v>45225</v>
      </c>
      <c r="Z41">
        <v>127.75</v>
      </c>
      <c r="AA41" t="str">
        <f>_xlfn.IFNA(_xlfn.IFS(Z41&gt;Dash!$E$46, "Big", Z41&lt;Dash!$E$49, "Small", Z41&gt;Dash!$E$47, "Good"), "Norm")</f>
        <v>Good</v>
      </c>
      <c r="AB41">
        <v>110</v>
      </c>
      <c r="AC41" t="str">
        <f>_xlfn.IFNA(_xlfn.IFS(AB41&gt;Dash!$F$46, "Big", AB41&lt;Dash!$F$49, "Small", AB41&gt;Dash!$F$47, "Good"), "Norm")</f>
        <v>Good</v>
      </c>
      <c r="AD41">
        <v>231.5</v>
      </c>
      <c r="AE41" t="str">
        <f>_xlfn.IFNA(_xlfn.IFS(AD41&gt;Dash!$G$46, "Big", AD41&lt;Dash!$G$49, "Small", AD41&gt;Dash!$G$47, "Good"), "Norm")</f>
        <v>Good</v>
      </c>
      <c r="AF41">
        <v>192.25</v>
      </c>
      <c r="AG41" t="str">
        <f>_xlfn.IFNA(_xlfn.IFS(AF41&gt;Dash!$H$46, "Big", AF41&lt;Dash!$H$49, "Small", AF41&gt;Dash!$H$47, "Good"), "Norm")</f>
        <v>Good</v>
      </c>
      <c r="AH41">
        <v>78.5</v>
      </c>
      <c r="AI41" t="str">
        <f>_xlfn.IFNA(_xlfn.IFS(AH41&gt;Dash!$I$46, "Big", AH41&lt;Dash!$I$49, "Small", AH41&gt;Dash!$I$47, "Good"), "Norm")</f>
        <v>Good</v>
      </c>
    </row>
    <row r="42" spans="1:35" x14ac:dyDescent="0.25">
      <c r="A42" s="1">
        <v>45226</v>
      </c>
      <c r="B42" t="s">
        <v>26</v>
      </c>
      <c r="C42" t="s">
        <v>33</v>
      </c>
      <c r="D42">
        <v>1</v>
      </c>
      <c r="E42">
        <v>198</v>
      </c>
      <c r="J42" t="s">
        <v>34</v>
      </c>
      <c r="K42" t="s">
        <v>35</v>
      </c>
      <c r="L42" t="s">
        <v>17</v>
      </c>
      <c r="M42" t="s">
        <v>19</v>
      </c>
      <c r="N42">
        <v>7</v>
      </c>
      <c r="P42">
        <v>1100</v>
      </c>
      <c r="Q42">
        <v>1500</v>
      </c>
      <c r="R42" t="s">
        <v>24</v>
      </c>
      <c r="S42" t="s">
        <v>28</v>
      </c>
      <c r="T42">
        <v>170.25</v>
      </c>
      <c r="U42" t="str">
        <f>_xlfn.IFNA(_xlfn.IFS(E42&gt;Dash!$D$46, "Big", E42&lt;Dash!$D$49, "Small", E42&gt;Dash!$D$47, "Good"), "Norm")</f>
        <v>Norm</v>
      </c>
      <c r="V42" t="s">
        <v>33</v>
      </c>
      <c r="W42">
        <v>318.75</v>
      </c>
      <c r="X42" t="s">
        <v>47</v>
      </c>
      <c r="Y42" s="1">
        <v>45226</v>
      </c>
      <c r="Z42">
        <v>79</v>
      </c>
      <c r="AA42" t="str">
        <f>_xlfn.IFNA(_xlfn.IFS(Z42&gt;Dash!$E$46, "Big", Z42&lt;Dash!$E$49, "Small", Z42&gt;Dash!$E$47, "Good"), "Norm")</f>
        <v>Good</v>
      </c>
      <c r="AB42">
        <v>67.5</v>
      </c>
      <c r="AC42" t="str">
        <f>_xlfn.IFNA(_xlfn.IFS(AB42&gt;Dash!$F$46, "Big", AB42&lt;Dash!$F$49, "Small", AB42&gt;Dash!$F$47, "Good"), "Norm")</f>
        <v>Norm</v>
      </c>
      <c r="AD42">
        <v>137.75</v>
      </c>
      <c r="AE42" t="str">
        <f>_xlfn.IFNA(_xlfn.IFS(AD42&gt;Dash!$G$46, "Big", AD42&lt;Dash!$G$49, "Small", AD42&gt;Dash!$G$47, "Good"), "Norm")</f>
        <v>Norm</v>
      </c>
      <c r="AF42">
        <v>172.25</v>
      </c>
      <c r="AG42" t="str">
        <f>_xlfn.IFNA(_xlfn.IFS(AF42&gt;Dash!$H$46, "Big", AF42&lt;Dash!$H$49, "Small", AF42&gt;Dash!$H$47, "Good"), "Norm")</f>
        <v>Good</v>
      </c>
      <c r="AH42">
        <v>20.75</v>
      </c>
      <c r="AI42" t="str">
        <f>_xlfn.IFNA(_xlfn.IFS(AH42&gt;Dash!$I$46, "Big", AH42&lt;Dash!$I$49, "Small", AH42&gt;Dash!$I$47, "Good"), "Norm")</f>
        <v>Small</v>
      </c>
    </row>
    <row r="43" spans="1:35" x14ac:dyDescent="0.25">
      <c r="A43" s="1">
        <v>45229</v>
      </c>
      <c r="B43" t="s">
        <v>23</v>
      </c>
      <c r="C43" t="s">
        <v>24</v>
      </c>
      <c r="D43" t="s">
        <v>28</v>
      </c>
      <c r="E43">
        <v>170.25</v>
      </c>
      <c r="F43">
        <v>900</v>
      </c>
      <c r="G43">
        <v>1000</v>
      </c>
      <c r="J43" t="s">
        <v>27</v>
      </c>
      <c r="K43" t="s">
        <v>31</v>
      </c>
      <c r="L43" t="s">
        <v>35</v>
      </c>
      <c r="M43" t="s">
        <v>19</v>
      </c>
      <c r="N43">
        <v>13</v>
      </c>
      <c r="P43">
        <v>1200</v>
      </c>
      <c r="Q43">
        <v>1500</v>
      </c>
      <c r="R43" t="s">
        <v>33</v>
      </c>
      <c r="S43" t="s">
        <v>28</v>
      </c>
      <c r="T43">
        <v>192.5</v>
      </c>
      <c r="U43" t="str">
        <f>_xlfn.IFNA(_xlfn.IFS(E43&gt;Dash!$D$46, "Big", E43&lt;Dash!$D$49, "Small", E43&gt;Dash!$D$47, "Good"), "Norm")</f>
        <v>Norm</v>
      </c>
      <c r="V43" t="s">
        <v>33</v>
      </c>
      <c r="W43">
        <v>198</v>
      </c>
      <c r="X43">
        <v>1</v>
      </c>
      <c r="Y43" s="1">
        <v>45229</v>
      </c>
      <c r="Z43">
        <v>48.75</v>
      </c>
      <c r="AA43" t="str">
        <f>_xlfn.IFNA(_xlfn.IFS(Z43&gt;Dash!$E$46, "Big", Z43&lt;Dash!$E$49, "Small", Z43&gt;Dash!$E$47, "Good"), "Norm")</f>
        <v>Norm</v>
      </c>
      <c r="AB43">
        <v>54.75</v>
      </c>
      <c r="AC43" t="str">
        <f>_xlfn.IFNA(_xlfn.IFS(AB43&gt;Dash!$F$46, "Big", AB43&lt;Dash!$F$49, "Small", AB43&gt;Dash!$F$47, "Good"), "Norm")</f>
        <v>Small</v>
      </c>
      <c r="AD43">
        <v>170.25</v>
      </c>
      <c r="AE43" t="str">
        <f>_xlfn.IFNA(_xlfn.IFS(AD43&gt;Dash!$G$46, "Big", AD43&lt;Dash!$G$49, "Small", AD43&gt;Dash!$G$47, "Good"), "Norm")</f>
        <v>Norm</v>
      </c>
      <c r="AF43">
        <v>161.5</v>
      </c>
      <c r="AG43" t="str">
        <f>_xlfn.IFNA(_xlfn.IFS(AF43&gt;Dash!$H$46, "Big", AF43&lt;Dash!$H$49, "Small", AF43&gt;Dash!$H$47, "Good"), "Norm")</f>
        <v>Good</v>
      </c>
      <c r="AH43">
        <v>19.75</v>
      </c>
      <c r="AI43" t="str">
        <f>_xlfn.IFNA(_xlfn.IFS(AH43&gt;Dash!$I$46, "Big", AH43&lt;Dash!$I$49, "Small", AH43&gt;Dash!$I$47, "Good"), "Norm")</f>
        <v>Small</v>
      </c>
    </row>
    <row r="44" spans="1:35" x14ac:dyDescent="0.25">
      <c r="A44" s="1">
        <v>45230</v>
      </c>
      <c r="B44" t="s">
        <v>19</v>
      </c>
      <c r="C44" t="s">
        <v>33</v>
      </c>
      <c r="D44" t="s">
        <v>28</v>
      </c>
      <c r="E44">
        <v>192.5</v>
      </c>
      <c r="F44">
        <v>1300</v>
      </c>
      <c r="G44">
        <v>1600</v>
      </c>
      <c r="J44" t="s">
        <v>49</v>
      </c>
      <c r="K44" t="s">
        <v>25</v>
      </c>
      <c r="L44" t="s">
        <v>32</v>
      </c>
      <c r="M44" t="s">
        <v>19</v>
      </c>
      <c r="N44">
        <v>13</v>
      </c>
      <c r="P44">
        <v>900</v>
      </c>
      <c r="Q44">
        <v>1500</v>
      </c>
      <c r="R44" t="s">
        <v>20</v>
      </c>
      <c r="S44" t="s">
        <v>28</v>
      </c>
      <c r="T44">
        <v>344.75</v>
      </c>
      <c r="U44" t="str">
        <f>_xlfn.IFNA(_xlfn.IFS(E44&gt;Dash!$D$46, "Big", E44&lt;Dash!$D$49, "Small", E44&gt;Dash!$D$47, "Good"), "Norm")</f>
        <v>Norm</v>
      </c>
      <c r="V44" t="s">
        <v>24</v>
      </c>
      <c r="W44">
        <v>170.25</v>
      </c>
      <c r="X44" t="s">
        <v>28</v>
      </c>
      <c r="Y44" s="1">
        <v>45230</v>
      </c>
      <c r="Z44">
        <v>90.25</v>
      </c>
      <c r="AA44" t="str">
        <f>_xlfn.IFNA(_xlfn.IFS(Z44&gt;Dash!$E$46, "Big", Z44&lt;Dash!$E$49, "Small", Z44&gt;Dash!$E$47, "Good"), "Norm")</f>
        <v>Good</v>
      </c>
      <c r="AB44">
        <v>128.5</v>
      </c>
      <c r="AC44" t="str">
        <f>_xlfn.IFNA(_xlfn.IFS(AB44&gt;Dash!$F$46, "Big", AB44&lt;Dash!$F$49, "Small", AB44&gt;Dash!$F$47, "Good"), "Norm")</f>
        <v>Good</v>
      </c>
      <c r="AD44">
        <v>142.75</v>
      </c>
      <c r="AE44" t="str">
        <f>_xlfn.IFNA(_xlfn.IFS(AD44&gt;Dash!$G$46, "Big", AD44&lt;Dash!$G$49, "Small", AD44&gt;Dash!$G$47, "Good"), "Norm")</f>
        <v>Norm</v>
      </c>
      <c r="AF44">
        <v>134.5</v>
      </c>
      <c r="AG44" t="str">
        <f>_xlfn.IFNA(_xlfn.IFS(AF44&gt;Dash!$H$46, "Big", AF44&lt;Dash!$H$49, "Small", AF44&gt;Dash!$H$47, "Good"), "Norm")</f>
        <v>Norm</v>
      </c>
      <c r="AH44">
        <v>47.25</v>
      </c>
      <c r="AI44" t="str">
        <f>_xlfn.IFNA(_xlfn.IFS(AH44&gt;Dash!$I$46, "Big", AH44&lt;Dash!$I$49, "Small", AH44&gt;Dash!$I$47, "Good"), "Norm")</f>
        <v>Good</v>
      </c>
    </row>
    <row r="45" spans="1:35" x14ac:dyDescent="0.25">
      <c r="A45" s="1">
        <v>45231</v>
      </c>
      <c r="B45" t="s">
        <v>18</v>
      </c>
      <c r="C45" t="s">
        <v>20</v>
      </c>
      <c r="D45" t="s">
        <v>28</v>
      </c>
      <c r="E45">
        <v>344.75</v>
      </c>
      <c r="F45">
        <v>800</v>
      </c>
      <c r="G45">
        <v>800</v>
      </c>
      <c r="J45" t="s">
        <v>27</v>
      </c>
      <c r="K45" t="s">
        <v>39</v>
      </c>
      <c r="L45" t="s">
        <v>32</v>
      </c>
      <c r="M45" t="s">
        <v>19</v>
      </c>
      <c r="N45">
        <v>13</v>
      </c>
      <c r="P45">
        <v>1400</v>
      </c>
      <c r="Q45">
        <v>1500</v>
      </c>
      <c r="R45" t="s">
        <v>13</v>
      </c>
      <c r="S45" t="s">
        <v>28</v>
      </c>
      <c r="T45">
        <v>139</v>
      </c>
      <c r="U45" t="str">
        <f>_xlfn.IFNA(_xlfn.IFS(E45&gt;Dash!$D$46, "Big", E45&lt;Dash!$D$49, "Small", E45&gt;Dash!$D$47, "Good"), "Norm")</f>
        <v>Good</v>
      </c>
      <c r="V45" t="s">
        <v>33</v>
      </c>
      <c r="W45">
        <v>192.5</v>
      </c>
      <c r="X45" t="s">
        <v>28</v>
      </c>
      <c r="Y45" s="1">
        <v>45231</v>
      </c>
      <c r="Z45">
        <v>39.25</v>
      </c>
      <c r="AA45" t="str">
        <f>_xlfn.IFNA(_xlfn.IFS(Z45&gt;Dash!$E$46, "Big", Z45&lt;Dash!$E$49, "Small", Z45&gt;Dash!$E$47, "Good"), "Norm")</f>
        <v>Small</v>
      </c>
      <c r="AB45">
        <v>81.5</v>
      </c>
      <c r="AC45" t="str">
        <f>_xlfn.IFNA(_xlfn.IFS(AB45&gt;Dash!$F$46, "Big", AB45&lt;Dash!$F$49, "Small", AB45&gt;Dash!$F$47, "Good"), "Norm")</f>
        <v>Norm</v>
      </c>
      <c r="AD45">
        <v>232.25</v>
      </c>
      <c r="AE45" t="str">
        <f>_xlfn.IFNA(_xlfn.IFS(AD45&gt;Dash!$G$46, "Big", AD45&lt;Dash!$G$49, "Small", AD45&gt;Dash!$G$47, "Good"), "Norm")</f>
        <v>Good</v>
      </c>
      <c r="AF45">
        <v>204</v>
      </c>
      <c r="AG45" t="str">
        <f>_xlfn.IFNA(_xlfn.IFS(AF45&gt;Dash!$H$46, "Big", AF45&lt;Dash!$H$49, "Small", AF45&gt;Dash!$H$47, "Good"), "Norm")</f>
        <v>Good</v>
      </c>
      <c r="AH45">
        <v>28.5</v>
      </c>
      <c r="AI45" t="str">
        <f>_xlfn.IFNA(_xlfn.IFS(AH45&gt;Dash!$I$46, "Big", AH45&lt;Dash!$I$49, "Small", AH45&gt;Dash!$I$47, "Good"), "Norm")</f>
        <v>Norm</v>
      </c>
    </row>
    <row r="46" spans="1:35" x14ac:dyDescent="0.25">
      <c r="A46" s="1">
        <v>45232</v>
      </c>
      <c r="B46" t="s">
        <v>36</v>
      </c>
      <c r="C46" t="s">
        <v>13</v>
      </c>
      <c r="D46" t="s">
        <v>28</v>
      </c>
      <c r="E46">
        <v>139</v>
      </c>
      <c r="F46">
        <v>800</v>
      </c>
      <c r="G46">
        <v>800</v>
      </c>
      <c r="J46" t="s">
        <v>29</v>
      </c>
      <c r="K46" t="s">
        <v>31</v>
      </c>
      <c r="L46" t="s">
        <v>32</v>
      </c>
      <c r="M46" t="s">
        <v>19</v>
      </c>
      <c r="N46">
        <v>13</v>
      </c>
      <c r="O46" t="s">
        <v>70</v>
      </c>
      <c r="P46">
        <v>1200</v>
      </c>
      <c r="Q46">
        <v>1600</v>
      </c>
      <c r="R46" t="s">
        <v>13</v>
      </c>
      <c r="S46" t="s">
        <v>28</v>
      </c>
      <c r="T46">
        <v>288.5</v>
      </c>
      <c r="U46" t="str">
        <f>_xlfn.IFNA(_xlfn.IFS(E46&gt;Dash!$D$46, "Big", E46&lt;Dash!$D$49, "Small", E46&gt;Dash!$D$47, "Good"), "Norm")</f>
        <v>Small</v>
      </c>
      <c r="V46" t="s">
        <v>20</v>
      </c>
      <c r="W46">
        <v>344.75</v>
      </c>
      <c r="X46" t="s">
        <v>28</v>
      </c>
      <c r="Y46" s="1">
        <v>45232</v>
      </c>
      <c r="Z46">
        <v>57.5</v>
      </c>
      <c r="AA46" t="str">
        <f>_xlfn.IFNA(_xlfn.IFS(Z46&gt;Dash!$E$46, "Big", Z46&lt;Dash!$E$49, "Small", Z46&gt;Dash!$E$47, "Good"), "Norm")</f>
        <v>Norm</v>
      </c>
      <c r="AB46">
        <v>104.75</v>
      </c>
      <c r="AC46" t="str">
        <f>_xlfn.IFNA(_xlfn.IFS(AB46&gt;Dash!$F$46, "Big", AB46&lt;Dash!$F$49, "Small", AB46&gt;Dash!$F$47, "Good"), "Norm")</f>
        <v>Good</v>
      </c>
      <c r="AD46">
        <v>102.5</v>
      </c>
      <c r="AE46" t="str">
        <f>_xlfn.IFNA(_xlfn.IFS(AD46&gt;Dash!$G$46, "Big", AD46&lt;Dash!$G$49, "Small", AD46&gt;Dash!$G$47, "Good"), "Norm")</f>
        <v>Small</v>
      </c>
      <c r="AF46">
        <v>85.75</v>
      </c>
      <c r="AG46" t="str">
        <f>_xlfn.IFNA(_xlfn.IFS(AF46&gt;Dash!$H$46, "Big", AF46&lt;Dash!$H$49, "Small", AF46&gt;Dash!$H$47, "Good"), "Norm")</f>
        <v>Small</v>
      </c>
      <c r="AH46">
        <v>84.25</v>
      </c>
      <c r="AI46" t="str">
        <f>_xlfn.IFNA(_xlfn.IFS(AH46&gt;Dash!$I$46, "Big", AH46&lt;Dash!$I$49, "Small", AH46&gt;Dash!$I$47, "Good"), "Norm")</f>
        <v>Good</v>
      </c>
    </row>
    <row r="47" spans="1:35" x14ac:dyDescent="0.25">
      <c r="A47" s="1">
        <v>45233</v>
      </c>
      <c r="B47" t="s">
        <v>26</v>
      </c>
      <c r="C47" t="s">
        <v>13</v>
      </c>
      <c r="D47" t="s">
        <v>28</v>
      </c>
      <c r="E47">
        <v>288.5</v>
      </c>
      <c r="F47">
        <v>800</v>
      </c>
      <c r="J47" t="s">
        <v>27</v>
      </c>
      <c r="K47" t="s">
        <v>31</v>
      </c>
      <c r="L47" t="s">
        <v>32</v>
      </c>
      <c r="M47" t="s">
        <v>19</v>
      </c>
      <c r="N47">
        <v>13</v>
      </c>
      <c r="P47">
        <v>700</v>
      </c>
      <c r="Q47">
        <v>1500</v>
      </c>
      <c r="R47" t="s">
        <v>33</v>
      </c>
      <c r="S47" t="s">
        <v>43</v>
      </c>
      <c r="T47">
        <v>119.5</v>
      </c>
      <c r="U47" t="str">
        <f>_xlfn.IFNA(_xlfn.IFS(E47&gt;Dash!$D$46, "Big", E47&lt;Dash!$D$49, "Small", E47&gt;Dash!$D$47, "Good"), "Norm")</f>
        <v>Good</v>
      </c>
      <c r="V47" t="s">
        <v>13</v>
      </c>
      <c r="W47">
        <v>139</v>
      </c>
      <c r="X47" t="s">
        <v>28</v>
      </c>
      <c r="Y47" s="1">
        <v>45233</v>
      </c>
      <c r="Z47">
        <v>42.25</v>
      </c>
      <c r="AA47" t="str">
        <f>_xlfn.IFNA(_xlfn.IFS(Z47&gt;Dash!$E$46, "Big", Z47&lt;Dash!$E$49, "Small", Z47&gt;Dash!$E$47, "Good"), "Norm")</f>
        <v>Norm</v>
      </c>
      <c r="AB47">
        <v>42</v>
      </c>
      <c r="AC47" t="str">
        <f>_xlfn.IFNA(_xlfn.IFS(AB47&gt;Dash!$F$46, "Big", AB47&lt;Dash!$F$49, "Small", AB47&gt;Dash!$F$47, "Good"), "Norm")</f>
        <v>Small</v>
      </c>
      <c r="AD47">
        <v>223.25</v>
      </c>
      <c r="AE47" t="str">
        <f>_xlfn.IFNA(_xlfn.IFS(AD47&gt;Dash!$G$46, "Big", AD47&lt;Dash!$G$49, "Small", AD47&gt;Dash!$G$47, "Good"), "Norm")</f>
        <v>Good</v>
      </c>
      <c r="AF47">
        <v>92.75</v>
      </c>
      <c r="AG47" t="str">
        <f>_xlfn.IFNA(_xlfn.IFS(AF47&gt;Dash!$H$46, "Big", AF47&lt;Dash!$H$49, "Small", AF47&gt;Dash!$H$47, "Good"), "Norm")</f>
        <v>Norm</v>
      </c>
      <c r="AH47">
        <v>18.25</v>
      </c>
      <c r="AI47" t="str">
        <f>_xlfn.IFNA(_xlfn.IFS(AH47&gt;Dash!$I$46, "Big", AH47&lt;Dash!$I$49, "Small", AH47&gt;Dash!$I$47, "Good"), "Norm")</f>
        <v>Small</v>
      </c>
    </row>
    <row r="48" spans="1:35" x14ac:dyDescent="0.25">
      <c r="A48" s="1">
        <v>45236</v>
      </c>
      <c r="B48" t="s">
        <v>23</v>
      </c>
      <c r="C48" t="s">
        <v>33</v>
      </c>
      <c r="D48" t="s">
        <v>43</v>
      </c>
      <c r="E48">
        <v>119.5</v>
      </c>
      <c r="F48">
        <v>900</v>
      </c>
      <c r="G48">
        <v>900</v>
      </c>
      <c r="J48" t="s">
        <v>27</v>
      </c>
      <c r="K48" t="s">
        <v>35</v>
      </c>
      <c r="L48" t="s">
        <v>17</v>
      </c>
      <c r="M48" t="s">
        <v>19</v>
      </c>
      <c r="N48">
        <v>5</v>
      </c>
      <c r="P48">
        <v>1300</v>
      </c>
      <c r="Q48">
        <v>1500</v>
      </c>
      <c r="R48" t="s">
        <v>20</v>
      </c>
      <c r="S48" t="s">
        <v>28</v>
      </c>
      <c r="T48">
        <v>192.75</v>
      </c>
      <c r="U48" t="str">
        <f>_xlfn.IFNA(_xlfn.IFS(E48&gt;Dash!$D$46, "Big", E48&lt;Dash!$D$49, "Small", E48&gt;Dash!$D$47, "Good"), "Norm")</f>
        <v>Small</v>
      </c>
      <c r="V48" t="s">
        <v>13</v>
      </c>
      <c r="W48">
        <v>288.5</v>
      </c>
      <c r="X48" t="s">
        <v>28</v>
      </c>
      <c r="Y48" s="1">
        <v>45236</v>
      </c>
      <c r="Z48">
        <v>39.75</v>
      </c>
      <c r="AA48" t="str">
        <f>_xlfn.IFNA(_xlfn.IFS(Z48&gt;Dash!$E$46, "Big", Z48&lt;Dash!$E$49, "Small", Z48&gt;Dash!$E$47, "Good"), "Norm")</f>
        <v>Small</v>
      </c>
      <c r="AB48">
        <v>41.25</v>
      </c>
      <c r="AC48" t="str">
        <f>_xlfn.IFNA(_xlfn.IFS(AB48&gt;Dash!$F$46, "Big", AB48&lt;Dash!$F$49, "Small", AB48&gt;Dash!$F$47, "Good"), "Norm")</f>
        <v>Small</v>
      </c>
      <c r="AD48">
        <v>72.5</v>
      </c>
      <c r="AE48" t="str">
        <f>_xlfn.IFNA(_xlfn.IFS(AD48&gt;Dash!$G$46, "Big", AD48&lt;Dash!$G$49, "Small", AD48&gt;Dash!$G$47, "Good"), "Norm")</f>
        <v>Small</v>
      </c>
      <c r="AF48">
        <v>98.5</v>
      </c>
      <c r="AG48" t="str">
        <f>_xlfn.IFNA(_xlfn.IFS(AF48&gt;Dash!$H$46, "Big", AF48&lt;Dash!$H$49, "Small", AF48&gt;Dash!$H$47, "Good"), "Norm")</f>
        <v>Norm</v>
      </c>
      <c r="AH48">
        <v>19</v>
      </c>
      <c r="AI48" t="str">
        <f>_xlfn.IFNA(_xlfn.IFS(AH48&gt;Dash!$I$46, "Big", AH48&lt;Dash!$I$49, "Small", AH48&gt;Dash!$I$47, "Good"), "Norm")</f>
        <v>Small</v>
      </c>
    </row>
    <row r="49" spans="1:35" x14ac:dyDescent="0.25">
      <c r="A49" s="1">
        <v>45237</v>
      </c>
      <c r="B49" t="s">
        <v>19</v>
      </c>
      <c r="C49" t="s">
        <v>20</v>
      </c>
      <c r="D49" t="s">
        <v>28</v>
      </c>
      <c r="E49">
        <v>192.75</v>
      </c>
      <c r="F49">
        <v>900</v>
      </c>
      <c r="J49" t="s">
        <v>27</v>
      </c>
      <c r="K49" t="s">
        <v>39</v>
      </c>
      <c r="L49" t="s">
        <v>32</v>
      </c>
      <c r="M49" t="s">
        <v>19</v>
      </c>
      <c r="N49">
        <v>5</v>
      </c>
      <c r="P49">
        <v>1200</v>
      </c>
      <c r="Q49">
        <v>1500</v>
      </c>
      <c r="R49" t="s">
        <v>33</v>
      </c>
      <c r="S49" t="s">
        <v>43</v>
      </c>
      <c r="T49">
        <v>130.75</v>
      </c>
      <c r="U49" t="str">
        <f>_xlfn.IFNA(_xlfn.IFS(E49&gt;Dash!$D$46, "Big", E49&lt;Dash!$D$49, "Small", E49&gt;Dash!$D$47, "Good"), "Norm")</f>
        <v>Norm</v>
      </c>
      <c r="V49" t="s">
        <v>33</v>
      </c>
      <c r="W49">
        <v>119.5</v>
      </c>
      <c r="X49" t="s">
        <v>43</v>
      </c>
      <c r="Y49" s="1">
        <v>45237</v>
      </c>
      <c r="Z49">
        <v>30</v>
      </c>
      <c r="AA49" t="str">
        <f>_xlfn.IFNA(_xlfn.IFS(Z49&gt;Dash!$E$46, "Big", Z49&lt;Dash!$E$49, "Small", Z49&gt;Dash!$E$47, "Good"), "Norm")</f>
        <v>Small</v>
      </c>
      <c r="AB49">
        <v>51.25</v>
      </c>
      <c r="AC49" t="str">
        <f>_xlfn.IFNA(_xlfn.IFS(AB49&gt;Dash!$F$46, "Big", AB49&lt;Dash!$F$49, "Small", AB49&gt;Dash!$F$47, "Good"), "Norm")</f>
        <v>Small</v>
      </c>
      <c r="AD49">
        <v>183.25</v>
      </c>
      <c r="AE49" t="str">
        <f>_xlfn.IFNA(_xlfn.IFS(AD49&gt;Dash!$G$46, "Big", AD49&lt;Dash!$G$49, "Small", AD49&gt;Dash!$G$47, "Good"), "Norm")</f>
        <v>Norm</v>
      </c>
      <c r="AF49">
        <v>83</v>
      </c>
      <c r="AG49" t="str">
        <f>_xlfn.IFNA(_xlfn.IFS(AF49&gt;Dash!$H$46, "Big", AF49&lt;Dash!$H$49, "Small", AF49&gt;Dash!$H$47, "Good"), "Norm")</f>
        <v>Small</v>
      </c>
      <c r="AH49">
        <v>9.5</v>
      </c>
      <c r="AI49" t="str">
        <f>_xlfn.IFNA(_xlfn.IFS(AH49&gt;Dash!$I$46, "Big", AH49&lt;Dash!$I$49, "Small", AH49&gt;Dash!$I$47, "Good"), "Norm")</f>
        <v>Small</v>
      </c>
    </row>
    <row r="50" spans="1:35" x14ac:dyDescent="0.25">
      <c r="A50" s="1">
        <v>45238</v>
      </c>
      <c r="B50" t="s">
        <v>18</v>
      </c>
      <c r="C50" t="s">
        <v>33</v>
      </c>
      <c r="D50" t="s">
        <v>43</v>
      </c>
      <c r="E50">
        <v>130.75</v>
      </c>
      <c r="F50">
        <v>900</v>
      </c>
      <c r="G50">
        <v>900</v>
      </c>
      <c r="J50" t="s">
        <v>27</v>
      </c>
      <c r="K50" t="s">
        <v>35</v>
      </c>
      <c r="L50" t="s">
        <v>17</v>
      </c>
      <c r="M50" t="s">
        <v>19</v>
      </c>
      <c r="N50">
        <v>5</v>
      </c>
      <c r="P50">
        <v>1200</v>
      </c>
      <c r="Q50">
        <v>1500</v>
      </c>
      <c r="R50" t="s">
        <v>33</v>
      </c>
      <c r="S50" t="s">
        <v>43</v>
      </c>
      <c r="T50">
        <v>217</v>
      </c>
      <c r="U50" t="str">
        <f>_xlfn.IFNA(_xlfn.IFS(E50&gt;Dash!$D$46, "Big", E50&lt;Dash!$D$49, "Small", E50&gt;Dash!$D$47, "Good"), "Norm")</f>
        <v>Small</v>
      </c>
      <c r="V50" t="s">
        <v>20</v>
      </c>
      <c r="W50">
        <v>192.75</v>
      </c>
      <c r="X50" t="s">
        <v>28</v>
      </c>
      <c r="Y50" s="1">
        <v>45238</v>
      </c>
      <c r="Z50">
        <v>37.25</v>
      </c>
      <c r="AA50" t="str">
        <f>_xlfn.IFNA(_xlfn.IFS(Z50&gt;Dash!$E$46, "Big", Z50&lt;Dash!$E$49, "Small", Z50&gt;Dash!$E$47, "Good"), "Norm")</f>
        <v>Small</v>
      </c>
      <c r="AB50">
        <v>42.5</v>
      </c>
      <c r="AC50" t="str">
        <f>_xlfn.IFNA(_xlfn.IFS(AB50&gt;Dash!$F$46, "Big", AB50&lt;Dash!$F$49, "Small", AB50&gt;Dash!$F$47, "Good"), "Norm")</f>
        <v>Small</v>
      </c>
      <c r="AD50">
        <v>87</v>
      </c>
      <c r="AE50" t="str">
        <f>_xlfn.IFNA(_xlfn.IFS(AD50&gt;Dash!$G$46, "Big", AD50&lt;Dash!$G$49, "Small", AD50&gt;Dash!$G$47, "Good"), "Norm")</f>
        <v>Small</v>
      </c>
      <c r="AF50">
        <v>107.75</v>
      </c>
      <c r="AG50" t="str">
        <f>_xlfn.IFNA(_xlfn.IFS(AF50&gt;Dash!$H$46, "Big", AF50&lt;Dash!$H$49, "Small", AF50&gt;Dash!$H$47, "Good"), "Norm")</f>
        <v>Norm</v>
      </c>
      <c r="AH50">
        <v>26</v>
      </c>
      <c r="AI50" t="str">
        <f>_xlfn.IFNA(_xlfn.IFS(AH50&gt;Dash!$I$46, "Big", AH50&lt;Dash!$I$49, "Small", AH50&gt;Dash!$I$47, "Good"), "Norm")</f>
        <v>Norm</v>
      </c>
    </row>
    <row r="51" spans="1:35" x14ac:dyDescent="0.25">
      <c r="A51" s="1">
        <v>45239</v>
      </c>
      <c r="B51" t="s">
        <v>36</v>
      </c>
      <c r="C51" t="s">
        <v>33</v>
      </c>
      <c r="D51" t="s">
        <v>43</v>
      </c>
      <c r="E51">
        <v>217</v>
      </c>
      <c r="F51">
        <v>900</v>
      </c>
      <c r="G51">
        <v>1000</v>
      </c>
      <c r="J51" t="s">
        <v>27</v>
      </c>
      <c r="K51" t="s">
        <v>35</v>
      </c>
      <c r="L51" t="s">
        <v>25</v>
      </c>
      <c r="M51" t="s">
        <v>19</v>
      </c>
      <c r="N51">
        <v>5</v>
      </c>
      <c r="P51">
        <v>1100</v>
      </c>
      <c r="Q51">
        <v>1500</v>
      </c>
      <c r="R51" t="s">
        <v>20</v>
      </c>
      <c r="S51" t="s">
        <v>38</v>
      </c>
      <c r="T51">
        <v>339.25</v>
      </c>
      <c r="U51" t="str">
        <f>_xlfn.IFNA(_xlfn.IFS(E51&gt;Dash!$D$46, "Big", E51&lt;Dash!$D$49, "Small", E51&gt;Dash!$D$47, "Good"), "Norm")</f>
        <v>Norm</v>
      </c>
      <c r="V51" t="s">
        <v>33</v>
      </c>
      <c r="W51">
        <v>130.75</v>
      </c>
      <c r="X51" t="s">
        <v>43</v>
      </c>
      <c r="Y51" s="1">
        <v>45239</v>
      </c>
      <c r="Z51">
        <v>47.25</v>
      </c>
      <c r="AA51" t="str">
        <f>_xlfn.IFNA(_xlfn.IFS(Z51&gt;Dash!$E$46, "Big", Z51&lt;Dash!$E$49, "Small", Z51&gt;Dash!$E$47, "Good"), "Norm")</f>
        <v>Norm</v>
      </c>
      <c r="AB51">
        <v>40.5</v>
      </c>
      <c r="AC51" t="str">
        <f>_xlfn.IFNA(_xlfn.IFS(AB51&gt;Dash!$F$46, "Big", AB51&lt;Dash!$F$49, "Small", AB51&gt;Dash!$F$47, "Good"), "Norm")</f>
        <v>Small</v>
      </c>
      <c r="AD51">
        <v>107.75</v>
      </c>
      <c r="AE51" t="str">
        <f>_xlfn.IFNA(_xlfn.IFS(AD51&gt;Dash!$G$46, "Big", AD51&lt;Dash!$G$49, "Small", AD51&gt;Dash!$G$47, "Good"), "Norm")</f>
        <v>Small</v>
      </c>
      <c r="AF51">
        <v>207.5</v>
      </c>
      <c r="AG51" t="str">
        <f>_xlfn.IFNA(_xlfn.IFS(AF51&gt;Dash!$H$46, "Big", AF51&lt;Dash!$H$49, "Small", AF51&gt;Dash!$H$47, "Good"), "Norm")</f>
        <v>Good</v>
      </c>
      <c r="AH51">
        <v>11.5</v>
      </c>
      <c r="AI51" t="str">
        <f>_xlfn.IFNA(_xlfn.IFS(AH51&gt;Dash!$I$46, "Big", AH51&lt;Dash!$I$49, "Small", AH51&gt;Dash!$I$47, "Good"), "Norm")</f>
        <v>Small</v>
      </c>
    </row>
    <row r="52" spans="1:35" x14ac:dyDescent="0.25">
      <c r="A52" s="1">
        <v>45240</v>
      </c>
      <c r="B52" t="s">
        <v>26</v>
      </c>
      <c r="C52" t="s">
        <v>20</v>
      </c>
      <c r="D52" t="s">
        <v>38</v>
      </c>
      <c r="E52">
        <v>339.25</v>
      </c>
      <c r="F52">
        <v>1800</v>
      </c>
      <c r="G52">
        <v>2000</v>
      </c>
      <c r="H52">
        <v>1200</v>
      </c>
      <c r="J52" t="s">
        <v>37</v>
      </c>
      <c r="K52" t="s">
        <v>39</v>
      </c>
      <c r="L52" t="s">
        <v>44</v>
      </c>
      <c r="M52" t="s">
        <v>19</v>
      </c>
      <c r="N52">
        <v>5</v>
      </c>
      <c r="P52">
        <v>600</v>
      </c>
      <c r="Q52">
        <v>900</v>
      </c>
      <c r="R52" t="s">
        <v>24</v>
      </c>
      <c r="S52">
        <v>1</v>
      </c>
      <c r="T52">
        <v>124.25</v>
      </c>
      <c r="U52" t="str">
        <f>_xlfn.IFNA(_xlfn.IFS(E52&gt;Dash!$D$46, "Big", E52&lt;Dash!$D$49, "Small", E52&gt;Dash!$D$47, "Good"), "Norm")</f>
        <v>Good</v>
      </c>
      <c r="V52" t="s">
        <v>33</v>
      </c>
      <c r="W52">
        <v>217</v>
      </c>
      <c r="X52" t="s">
        <v>43</v>
      </c>
      <c r="Y52" s="1">
        <v>45240</v>
      </c>
      <c r="Z52">
        <v>47</v>
      </c>
      <c r="AA52" t="str">
        <f>_xlfn.IFNA(_xlfn.IFS(Z52&gt;Dash!$E$46, "Big", Z52&lt;Dash!$E$49, "Small", Z52&gt;Dash!$E$47, "Good"), "Norm")</f>
        <v>Norm</v>
      </c>
      <c r="AB52">
        <v>75.75</v>
      </c>
      <c r="AC52" t="str">
        <f>_xlfn.IFNA(_xlfn.IFS(AB52&gt;Dash!$F$46, "Big", AB52&lt;Dash!$F$49, "Small", AB52&gt;Dash!$F$47, "Good"), "Norm")</f>
        <v>Norm</v>
      </c>
      <c r="AD52">
        <v>186.75</v>
      </c>
      <c r="AE52" t="str">
        <f>_xlfn.IFNA(_xlfn.IFS(AD52&gt;Dash!$G$46, "Big", AD52&lt;Dash!$G$49, "Small", AD52&gt;Dash!$G$47, "Good"), "Norm")</f>
        <v>Norm</v>
      </c>
      <c r="AF52">
        <v>159.5</v>
      </c>
      <c r="AG52" t="str">
        <f>_xlfn.IFNA(_xlfn.IFS(AF52&gt;Dash!$H$46, "Big", AF52&lt;Dash!$H$49, "Small", AF52&gt;Dash!$H$47, "Good"), "Norm")</f>
        <v>Good</v>
      </c>
      <c r="AH52">
        <v>35.5</v>
      </c>
      <c r="AI52" t="str">
        <f>_xlfn.IFNA(_xlfn.IFS(AH52&gt;Dash!$I$46, "Big", AH52&lt;Dash!$I$49, "Small", AH52&gt;Dash!$I$47, "Good"), "Norm")</f>
        <v>Norm</v>
      </c>
    </row>
    <row r="53" spans="1:35" x14ac:dyDescent="0.25">
      <c r="A53" s="1">
        <v>45243</v>
      </c>
      <c r="B53" t="s">
        <v>23</v>
      </c>
      <c r="C53" t="s">
        <v>24</v>
      </c>
      <c r="D53">
        <v>1</v>
      </c>
      <c r="E53">
        <v>124.25</v>
      </c>
      <c r="J53" t="s">
        <v>34</v>
      </c>
      <c r="K53" t="s">
        <v>16</v>
      </c>
      <c r="L53" t="s">
        <v>25</v>
      </c>
      <c r="M53" t="s">
        <v>19</v>
      </c>
      <c r="N53">
        <v>9</v>
      </c>
      <c r="P53">
        <v>1400</v>
      </c>
      <c r="Q53">
        <v>1500</v>
      </c>
      <c r="R53" t="s">
        <v>13</v>
      </c>
      <c r="S53" t="s">
        <v>28</v>
      </c>
      <c r="T53">
        <v>366.75</v>
      </c>
      <c r="U53" t="str">
        <f>_xlfn.IFNA(_xlfn.IFS(E53&gt;Dash!$D$46, "Big", E53&lt;Dash!$D$49, "Small", E53&gt;Dash!$D$47, "Good"), "Norm")</f>
        <v>Small</v>
      </c>
      <c r="V53" t="s">
        <v>20</v>
      </c>
      <c r="W53">
        <v>339.25</v>
      </c>
      <c r="X53" t="s">
        <v>38</v>
      </c>
      <c r="Y53" s="1">
        <v>45243</v>
      </c>
      <c r="Z53">
        <v>91.75</v>
      </c>
      <c r="AA53" t="str">
        <f>_xlfn.IFNA(_xlfn.IFS(Z53&gt;Dash!$E$46, "Big", Z53&lt;Dash!$E$49, "Small", Z53&gt;Dash!$E$47, "Good"), "Norm")</f>
        <v>Good</v>
      </c>
      <c r="AB53">
        <v>43.25</v>
      </c>
      <c r="AC53" t="str">
        <f>_xlfn.IFNA(_xlfn.IFS(AB53&gt;Dash!$F$46, "Big", AB53&lt;Dash!$F$49, "Small", AB53&gt;Dash!$F$47, "Good"), "Norm")</f>
        <v>Small</v>
      </c>
      <c r="AD53">
        <v>125.25</v>
      </c>
      <c r="AE53" t="str">
        <f>_xlfn.IFNA(_xlfn.IFS(AD53&gt;Dash!$G$46, "Big", AD53&lt;Dash!$G$49, "Small", AD53&gt;Dash!$G$47, "Good"), "Norm")</f>
        <v>Norm</v>
      </c>
      <c r="AF53">
        <v>52</v>
      </c>
      <c r="AG53" t="str">
        <f>_xlfn.IFNA(_xlfn.IFS(AF53&gt;Dash!$H$46, "Big", AF53&lt;Dash!$H$49, "Small", AF53&gt;Dash!$H$47, "Good"), "Norm")</f>
        <v>Small</v>
      </c>
      <c r="AH53">
        <v>14</v>
      </c>
      <c r="AI53" t="str">
        <f>_xlfn.IFNA(_xlfn.IFS(AH53&gt;Dash!$I$46, "Big", AH53&lt;Dash!$I$49, "Small", AH53&gt;Dash!$I$47, "Good"), "Norm")</f>
        <v>Small</v>
      </c>
    </row>
    <row r="54" spans="1:35" x14ac:dyDescent="0.25">
      <c r="A54" s="1">
        <v>45244</v>
      </c>
      <c r="B54" t="s">
        <v>19</v>
      </c>
      <c r="C54" t="s">
        <v>13</v>
      </c>
      <c r="D54" t="s">
        <v>28</v>
      </c>
      <c r="E54">
        <v>366.75</v>
      </c>
      <c r="F54">
        <v>800</v>
      </c>
      <c r="J54" t="s">
        <v>30</v>
      </c>
      <c r="K54" t="s">
        <v>31</v>
      </c>
      <c r="L54" t="s">
        <v>32</v>
      </c>
      <c r="M54" t="s">
        <v>19</v>
      </c>
      <c r="N54">
        <v>9</v>
      </c>
      <c r="P54">
        <v>1400</v>
      </c>
      <c r="Q54">
        <v>1500</v>
      </c>
      <c r="R54" t="s">
        <v>33</v>
      </c>
      <c r="S54" t="s">
        <v>43</v>
      </c>
      <c r="T54">
        <v>217</v>
      </c>
      <c r="U54" t="str">
        <f>_xlfn.IFNA(_xlfn.IFS(E54&gt;Dash!$D$46, "Big", E54&lt;Dash!$D$49, "Small", E54&gt;Dash!$D$47, "Good"), "Norm")</f>
        <v>Good</v>
      </c>
      <c r="V54" t="s">
        <v>24</v>
      </c>
      <c r="W54">
        <v>124.25</v>
      </c>
      <c r="X54">
        <v>1</v>
      </c>
      <c r="Y54" s="1">
        <v>45244</v>
      </c>
      <c r="Z54">
        <v>26</v>
      </c>
      <c r="AA54" t="str">
        <f>_xlfn.IFNA(_xlfn.IFS(Z54&gt;Dash!$E$46, "Big", Z54&lt;Dash!$E$49, "Small", Z54&gt;Dash!$E$47, "Good"), "Norm")</f>
        <v>Small</v>
      </c>
      <c r="AB54">
        <v>40.5</v>
      </c>
      <c r="AC54" t="str">
        <f>_xlfn.IFNA(_xlfn.IFS(AB54&gt;Dash!$F$46, "Big", AB54&lt;Dash!$F$49, "Small", AB54&gt;Dash!$F$47, "Good"), "Norm")</f>
        <v>Small</v>
      </c>
      <c r="AD54">
        <v>351</v>
      </c>
      <c r="AE54" t="str">
        <f>_xlfn.IFNA(_xlfn.IFS(AD54&gt;Dash!$G$46, "Big", AD54&lt;Dash!$G$49, "Small", AD54&gt;Dash!$G$47, "Good"), "Norm")</f>
        <v>Big</v>
      </c>
      <c r="AF54">
        <v>96.75</v>
      </c>
      <c r="AG54" t="str">
        <f>_xlfn.IFNA(_xlfn.IFS(AF54&gt;Dash!$H$46, "Big", AF54&lt;Dash!$H$49, "Small", AF54&gt;Dash!$H$47, "Good"), "Norm")</f>
        <v>Norm</v>
      </c>
      <c r="AH54">
        <v>29.75</v>
      </c>
      <c r="AI54" t="str">
        <f>_xlfn.IFNA(_xlfn.IFS(AH54&gt;Dash!$I$46, "Big", AH54&lt;Dash!$I$49, "Small", AH54&gt;Dash!$I$47, "Good"), "Norm")</f>
        <v>Norm</v>
      </c>
    </row>
    <row r="55" spans="1:35" x14ac:dyDescent="0.25">
      <c r="A55" s="1">
        <v>45245</v>
      </c>
      <c r="B55" t="s">
        <v>18</v>
      </c>
      <c r="C55" t="s">
        <v>33</v>
      </c>
      <c r="D55" t="s">
        <v>43</v>
      </c>
      <c r="E55">
        <v>217</v>
      </c>
      <c r="F55">
        <v>2100</v>
      </c>
      <c r="G55">
        <v>200</v>
      </c>
      <c r="J55" t="s">
        <v>29</v>
      </c>
      <c r="K55" t="s">
        <v>35</v>
      </c>
      <c r="L55" t="s">
        <v>17</v>
      </c>
      <c r="M55" t="s">
        <v>19</v>
      </c>
      <c r="N55">
        <v>9</v>
      </c>
      <c r="P55">
        <v>1400</v>
      </c>
      <c r="Q55">
        <v>1600</v>
      </c>
      <c r="R55" t="s">
        <v>33</v>
      </c>
      <c r="S55" t="s">
        <v>46</v>
      </c>
      <c r="T55">
        <v>110</v>
      </c>
      <c r="U55" t="str">
        <f>_xlfn.IFNA(_xlfn.IFS(E55&gt;Dash!$D$46, "Big", E55&lt;Dash!$D$49, "Small", E55&gt;Dash!$D$47, "Good"), "Norm")</f>
        <v>Norm</v>
      </c>
      <c r="V55" t="s">
        <v>13</v>
      </c>
      <c r="W55">
        <v>366.75</v>
      </c>
      <c r="X55" t="s">
        <v>28</v>
      </c>
      <c r="Y55" s="1">
        <v>45245</v>
      </c>
      <c r="Z55">
        <v>45</v>
      </c>
      <c r="AA55" t="str">
        <f>_xlfn.IFNA(_xlfn.IFS(Z55&gt;Dash!$E$46, "Big", Z55&lt;Dash!$E$49, "Small", Z55&gt;Dash!$E$47, "Good"), "Norm")</f>
        <v>Norm</v>
      </c>
      <c r="AB55">
        <v>77.5</v>
      </c>
      <c r="AC55" t="str">
        <f>_xlfn.IFNA(_xlfn.IFS(AB55&gt;Dash!$F$46, "Big", AB55&lt;Dash!$F$49, "Small", AB55&gt;Dash!$F$47, "Good"), "Norm")</f>
        <v>Norm</v>
      </c>
      <c r="AD55">
        <v>156.75</v>
      </c>
      <c r="AE55" t="str">
        <f>_xlfn.IFNA(_xlfn.IFS(AD55&gt;Dash!$G$46, "Big", AD55&lt;Dash!$G$49, "Small", AD55&gt;Dash!$G$47, "Good"), "Norm")</f>
        <v>Norm</v>
      </c>
      <c r="AF55">
        <v>96.25</v>
      </c>
      <c r="AG55" t="str">
        <f>_xlfn.IFNA(_xlfn.IFS(AF55&gt;Dash!$H$46, "Big", AF55&lt;Dash!$H$49, "Small", AF55&gt;Dash!$H$47, "Good"), "Norm")</f>
        <v>Norm</v>
      </c>
      <c r="AH55">
        <v>59.75</v>
      </c>
      <c r="AI55" t="str">
        <f>_xlfn.IFNA(_xlfn.IFS(AH55&gt;Dash!$I$46, "Big", AH55&lt;Dash!$I$49, "Small", AH55&gt;Dash!$I$47, "Good"), "Norm")</f>
        <v>Good</v>
      </c>
    </row>
    <row r="56" spans="1:35" x14ac:dyDescent="0.25">
      <c r="A56" s="1">
        <v>45246</v>
      </c>
      <c r="B56" t="s">
        <v>36</v>
      </c>
      <c r="C56" t="s">
        <v>33</v>
      </c>
      <c r="D56" t="s">
        <v>46</v>
      </c>
      <c r="E56">
        <v>110</v>
      </c>
      <c r="F56">
        <v>2100</v>
      </c>
      <c r="G56">
        <v>2200</v>
      </c>
      <c r="J56" t="s">
        <v>37</v>
      </c>
      <c r="K56" t="s">
        <v>25</v>
      </c>
      <c r="L56" t="s">
        <v>32</v>
      </c>
      <c r="M56" t="s">
        <v>19</v>
      </c>
      <c r="N56">
        <v>9</v>
      </c>
      <c r="P56">
        <v>1300</v>
      </c>
      <c r="Q56">
        <v>1500</v>
      </c>
      <c r="R56" t="s">
        <v>33</v>
      </c>
      <c r="S56" t="s">
        <v>43</v>
      </c>
      <c r="T56">
        <v>115</v>
      </c>
      <c r="U56" t="str">
        <f>_xlfn.IFNA(_xlfn.IFS(E56&gt;Dash!$D$46, "Big", E56&lt;Dash!$D$49, "Small", E56&gt;Dash!$D$47, "Good"), "Norm")</f>
        <v>Small</v>
      </c>
      <c r="V56" t="s">
        <v>33</v>
      </c>
      <c r="W56">
        <v>217</v>
      </c>
      <c r="X56" t="s">
        <v>43</v>
      </c>
      <c r="Y56" s="1">
        <v>45246</v>
      </c>
      <c r="Z56">
        <v>57</v>
      </c>
      <c r="AA56" t="str">
        <f>_xlfn.IFNA(_xlfn.IFS(Z56&gt;Dash!$E$46, "Big", Z56&lt;Dash!$E$49, "Small", Z56&gt;Dash!$E$47, "Good"), "Norm")</f>
        <v>Norm</v>
      </c>
      <c r="AB56">
        <v>45</v>
      </c>
      <c r="AC56" t="str">
        <f>_xlfn.IFNA(_xlfn.IFS(AB56&gt;Dash!$F$46, "Big", AB56&lt;Dash!$F$49, "Small", AB56&gt;Dash!$F$47, "Good"), "Norm")</f>
        <v>Small</v>
      </c>
      <c r="AD56">
        <v>109</v>
      </c>
      <c r="AE56" t="str">
        <f>_xlfn.IFNA(_xlfn.IFS(AD56&gt;Dash!$G$46, "Big", AD56&lt;Dash!$G$49, "Small", AD56&gt;Dash!$G$47, "Good"), "Norm")</f>
        <v>Small</v>
      </c>
      <c r="AF56">
        <v>75</v>
      </c>
      <c r="AG56" t="str">
        <f>_xlfn.IFNA(_xlfn.IFS(AF56&gt;Dash!$H$46, "Big", AF56&lt;Dash!$H$49, "Small", AF56&gt;Dash!$H$47, "Good"), "Norm")</f>
        <v>Small</v>
      </c>
      <c r="AH56">
        <v>19.5</v>
      </c>
      <c r="AI56" t="str">
        <f>_xlfn.IFNA(_xlfn.IFS(AH56&gt;Dash!$I$46, "Big", AH56&lt;Dash!$I$49, "Small", AH56&gt;Dash!$I$47, "Good"), "Norm")</f>
        <v>Small</v>
      </c>
    </row>
    <row r="57" spans="1:35" x14ac:dyDescent="0.25">
      <c r="A57" s="1">
        <v>45247</v>
      </c>
      <c r="B57" t="s">
        <v>26</v>
      </c>
      <c r="C57" t="s">
        <v>33</v>
      </c>
      <c r="D57" t="s">
        <v>43</v>
      </c>
      <c r="E57">
        <v>115</v>
      </c>
      <c r="F57">
        <v>300</v>
      </c>
      <c r="G57">
        <v>300</v>
      </c>
      <c r="J57" t="s">
        <v>30</v>
      </c>
      <c r="K57" t="s">
        <v>25</v>
      </c>
      <c r="L57" t="s">
        <v>32</v>
      </c>
      <c r="M57" t="s">
        <v>19</v>
      </c>
      <c r="N57">
        <v>9</v>
      </c>
      <c r="O57" t="s">
        <v>61</v>
      </c>
      <c r="P57">
        <v>1400</v>
      </c>
      <c r="Q57">
        <v>1500</v>
      </c>
      <c r="R57" t="s">
        <v>13</v>
      </c>
      <c r="S57" t="s">
        <v>28</v>
      </c>
      <c r="T57">
        <v>229.5</v>
      </c>
      <c r="U57" t="str">
        <f>_xlfn.IFNA(_xlfn.IFS(E57&gt;Dash!$D$46, "Big", E57&lt;Dash!$D$49, "Small", E57&gt;Dash!$D$47, "Good"), "Norm")</f>
        <v>Small</v>
      </c>
      <c r="V57" t="s">
        <v>33</v>
      </c>
      <c r="W57">
        <v>110</v>
      </c>
      <c r="X57" t="s">
        <v>46</v>
      </c>
      <c r="Y57" s="1">
        <v>45247</v>
      </c>
      <c r="Z57">
        <v>25.25</v>
      </c>
      <c r="AA57" t="str">
        <f>_xlfn.IFNA(_xlfn.IFS(Z57&gt;Dash!$E$46, "Big", Z57&lt;Dash!$E$49, "Small", Z57&gt;Dash!$E$47, "Good"), "Norm")</f>
        <v>Small</v>
      </c>
      <c r="AB57">
        <v>43.5</v>
      </c>
      <c r="AC57" t="str">
        <f>_xlfn.IFNA(_xlfn.IFS(AB57&gt;Dash!$F$46, "Big", AB57&lt;Dash!$F$49, "Small", AB57&gt;Dash!$F$47, "Good"), "Norm")</f>
        <v>Small</v>
      </c>
      <c r="AD57">
        <v>94.75</v>
      </c>
      <c r="AE57" t="str">
        <f>_xlfn.IFNA(_xlfn.IFS(AD57&gt;Dash!$G$46, "Big", AD57&lt;Dash!$G$49, "Small", AD57&gt;Dash!$G$47, "Good"), "Norm")</f>
        <v>Small</v>
      </c>
      <c r="AF57">
        <v>76.5</v>
      </c>
      <c r="AG57" t="str">
        <f>_xlfn.IFNA(_xlfn.IFS(AF57&gt;Dash!$H$46, "Big", AF57&lt;Dash!$H$49, "Small", AF57&gt;Dash!$H$47, "Good"), "Norm")</f>
        <v>Small</v>
      </c>
      <c r="AH57">
        <v>26.25</v>
      </c>
      <c r="AI57" t="str">
        <f>_xlfn.IFNA(_xlfn.IFS(AH57&gt;Dash!$I$46, "Big", AH57&lt;Dash!$I$49, "Small", AH57&gt;Dash!$I$47, "Good"), "Norm")</f>
        <v>Norm</v>
      </c>
    </row>
    <row r="58" spans="1:35" x14ac:dyDescent="0.25">
      <c r="A58" s="1">
        <v>45250</v>
      </c>
      <c r="B58" t="s">
        <v>23</v>
      </c>
      <c r="C58" t="s">
        <v>13</v>
      </c>
      <c r="D58" t="s">
        <v>28</v>
      </c>
      <c r="E58">
        <v>229.5</v>
      </c>
      <c r="F58">
        <v>900</v>
      </c>
      <c r="J58" t="s">
        <v>27</v>
      </c>
      <c r="K58" t="s">
        <v>31</v>
      </c>
      <c r="L58" t="s">
        <v>32</v>
      </c>
      <c r="M58" t="s">
        <v>19</v>
      </c>
      <c r="N58">
        <v>5</v>
      </c>
      <c r="P58">
        <v>800</v>
      </c>
      <c r="Q58">
        <v>1500</v>
      </c>
      <c r="R58">
        <v>0</v>
      </c>
      <c r="S58" t="s">
        <v>14</v>
      </c>
      <c r="T58">
        <v>126.5</v>
      </c>
      <c r="U58" t="str">
        <f>_xlfn.IFNA(_xlfn.IFS(E58&gt;Dash!$D$46, "Big", E58&lt;Dash!$D$49, "Small", E58&gt;Dash!$D$47, "Good"), "Norm")</f>
        <v>Norm</v>
      </c>
      <c r="V58" t="s">
        <v>33</v>
      </c>
      <c r="W58">
        <v>115</v>
      </c>
      <c r="X58" t="s">
        <v>43</v>
      </c>
      <c r="Y58" s="1">
        <v>45250</v>
      </c>
      <c r="Z58">
        <v>66.5</v>
      </c>
      <c r="AA58" t="str">
        <f>_xlfn.IFNA(_xlfn.IFS(Z58&gt;Dash!$E$46, "Big", Z58&lt;Dash!$E$49, "Small", Z58&gt;Dash!$E$47, "Good"), "Norm")</f>
        <v>Norm</v>
      </c>
      <c r="AB58">
        <v>87.5</v>
      </c>
      <c r="AC58" t="str">
        <f>_xlfn.IFNA(_xlfn.IFS(AB58&gt;Dash!$F$46, "Big", AB58&lt;Dash!$F$49, "Small", AB58&gt;Dash!$F$47, "Good"), "Norm")</f>
        <v>Norm</v>
      </c>
      <c r="AD58">
        <v>134</v>
      </c>
      <c r="AE58" t="str">
        <f>_xlfn.IFNA(_xlfn.IFS(AD58&gt;Dash!$G$46, "Big", AD58&lt;Dash!$G$49, "Small", AD58&gt;Dash!$G$47, "Good"), "Norm")</f>
        <v>Norm</v>
      </c>
      <c r="AF58">
        <v>113.25</v>
      </c>
      <c r="AG58" t="str">
        <f>_xlfn.IFNA(_xlfn.IFS(AF58&gt;Dash!$H$46, "Big", AF58&lt;Dash!$H$49, "Small", AF58&gt;Dash!$H$47, "Good"), "Norm")</f>
        <v>Norm</v>
      </c>
      <c r="AH58">
        <v>10.75</v>
      </c>
      <c r="AI58" t="str">
        <f>_xlfn.IFNA(_xlfn.IFS(AH58&gt;Dash!$I$46, "Big", AH58&lt;Dash!$I$49, "Small", AH58&gt;Dash!$I$47, "Good"), "Norm")</f>
        <v>Small</v>
      </c>
    </row>
    <row r="59" spans="1:35" x14ac:dyDescent="0.25">
      <c r="A59" s="1">
        <v>45251</v>
      </c>
      <c r="B59" t="s">
        <v>19</v>
      </c>
      <c r="D59" t="s">
        <v>14</v>
      </c>
      <c r="E59">
        <v>126.5</v>
      </c>
      <c r="F59">
        <v>2200</v>
      </c>
      <c r="J59" t="s">
        <v>29</v>
      </c>
      <c r="K59" t="s">
        <v>16</v>
      </c>
      <c r="L59" t="s">
        <v>42</v>
      </c>
      <c r="M59" t="s">
        <v>19</v>
      </c>
      <c r="N59">
        <v>5</v>
      </c>
      <c r="O59" t="s">
        <v>66</v>
      </c>
      <c r="P59">
        <v>1300</v>
      </c>
      <c r="Q59">
        <v>1600</v>
      </c>
      <c r="R59" t="s">
        <v>41</v>
      </c>
      <c r="S59" t="s">
        <v>28</v>
      </c>
      <c r="T59">
        <v>168</v>
      </c>
      <c r="U59" t="str">
        <f>_xlfn.IFNA(_xlfn.IFS(E59&gt;Dash!$D$46, "Big", E59&lt;Dash!$D$49, "Small", E59&gt;Dash!$D$47, "Good"), "Norm")</f>
        <v>Small</v>
      </c>
      <c r="V59" t="s">
        <v>13</v>
      </c>
      <c r="W59">
        <v>229.5</v>
      </c>
      <c r="X59" t="s">
        <v>28</v>
      </c>
      <c r="Y59" s="1">
        <v>45251</v>
      </c>
      <c r="Z59">
        <v>39.5</v>
      </c>
      <c r="AA59" t="str">
        <f>_xlfn.IFNA(_xlfn.IFS(Z59&gt;Dash!$E$46, "Big", Z59&lt;Dash!$E$49, "Small", Z59&gt;Dash!$E$47, "Good"), "Norm")</f>
        <v>Small</v>
      </c>
      <c r="AB59">
        <v>65.75</v>
      </c>
      <c r="AC59" t="str">
        <f>_xlfn.IFNA(_xlfn.IFS(AB59&gt;Dash!$F$46, "Big", AB59&lt;Dash!$F$49, "Small", AB59&gt;Dash!$F$47, "Good"), "Norm")</f>
        <v>Norm</v>
      </c>
      <c r="AD59">
        <v>126.5</v>
      </c>
      <c r="AE59" t="str">
        <f>_xlfn.IFNA(_xlfn.IFS(AD59&gt;Dash!$G$46, "Big", AD59&lt;Dash!$G$49, "Small", AD59&gt;Dash!$G$47, "Good"), "Norm")</f>
        <v>Norm</v>
      </c>
      <c r="AF59">
        <v>59.25</v>
      </c>
      <c r="AG59" t="str">
        <f>_xlfn.IFNA(_xlfn.IFS(AF59&gt;Dash!$H$46, "Big", AF59&lt;Dash!$H$49, "Small", AF59&gt;Dash!$H$47, "Good"), "Norm")</f>
        <v>Small</v>
      </c>
      <c r="AH59">
        <v>113</v>
      </c>
      <c r="AI59" t="str">
        <f>_xlfn.IFNA(_xlfn.IFS(AH59&gt;Dash!$I$46, "Big", AH59&lt;Dash!$I$49, "Small", AH59&gt;Dash!$I$47, "Good"), "Norm")</f>
        <v>Big</v>
      </c>
    </row>
    <row r="60" spans="1:35" x14ac:dyDescent="0.25">
      <c r="A60" s="1">
        <v>45252</v>
      </c>
      <c r="B60" t="s">
        <v>18</v>
      </c>
      <c r="C60" t="s">
        <v>41</v>
      </c>
      <c r="D60" t="s">
        <v>28</v>
      </c>
      <c r="E60">
        <v>168</v>
      </c>
      <c r="F60">
        <v>900</v>
      </c>
      <c r="G60">
        <v>900</v>
      </c>
      <c r="J60" t="s">
        <v>27</v>
      </c>
      <c r="K60" t="s">
        <v>39</v>
      </c>
      <c r="L60" t="s">
        <v>35</v>
      </c>
      <c r="M60" t="s">
        <v>19</v>
      </c>
      <c r="N60">
        <v>5</v>
      </c>
      <c r="P60">
        <v>1300</v>
      </c>
      <c r="Q60">
        <v>1400</v>
      </c>
      <c r="R60" t="s">
        <v>24</v>
      </c>
      <c r="S60">
        <v>1</v>
      </c>
      <c r="T60">
        <v>87.5</v>
      </c>
      <c r="U60" t="str">
        <f>_xlfn.IFNA(_xlfn.IFS(E60&gt;Dash!$D$46, "Big", E60&lt;Dash!$D$49, "Small", E60&gt;Dash!$D$47, "Good"), "Norm")</f>
        <v>Norm</v>
      </c>
      <c r="V60">
        <v>0</v>
      </c>
      <c r="W60">
        <v>126.5</v>
      </c>
      <c r="X60" t="s">
        <v>14</v>
      </c>
      <c r="Y60" s="1">
        <v>45252</v>
      </c>
      <c r="Z60">
        <v>41.25</v>
      </c>
      <c r="AA60" t="str">
        <f>_xlfn.IFNA(_xlfn.IFS(Z60&gt;Dash!$E$46, "Big", Z60&lt;Dash!$E$49, "Small", Z60&gt;Dash!$E$47, "Good"), "Norm")</f>
        <v>Small</v>
      </c>
      <c r="AB60">
        <v>118.25</v>
      </c>
      <c r="AC60" t="str">
        <f>_xlfn.IFNA(_xlfn.IFS(AB60&gt;Dash!$F$46, "Big", AB60&lt;Dash!$F$49, "Small", AB60&gt;Dash!$F$47, "Good"), "Norm")</f>
        <v>Good</v>
      </c>
      <c r="AD60">
        <v>168</v>
      </c>
      <c r="AE60" t="str">
        <f>_xlfn.IFNA(_xlfn.IFS(AD60&gt;Dash!$G$46, "Big", AD60&lt;Dash!$G$49, "Small", AD60&gt;Dash!$G$47, "Good"), "Norm")</f>
        <v>Norm</v>
      </c>
      <c r="AF60">
        <v>92.25</v>
      </c>
      <c r="AG60" t="str">
        <f>_xlfn.IFNA(_xlfn.IFS(AF60&gt;Dash!$H$46, "Big", AF60&lt;Dash!$H$49, "Small", AF60&gt;Dash!$H$47, "Good"), "Norm")</f>
        <v>Small</v>
      </c>
      <c r="AH60">
        <v>14</v>
      </c>
      <c r="AI60" t="str">
        <f>_xlfn.IFNA(_xlfn.IFS(AH60&gt;Dash!$I$46, "Big", AH60&lt;Dash!$I$49, "Small", AH60&gt;Dash!$I$47, "Good"), "Norm")</f>
        <v>Small</v>
      </c>
    </row>
    <row r="61" spans="1:35" x14ac:dyDescent="0.25">
      <c r="A61" s="1">
        <v>45254</v>
      </c>
      <c r="B61" t="s">
        <v>26</v>
      </c>
      <c r="C61" t="s">
        <v>24</v>
      </c>
      <c r="D61">
        <v>1</v>
      </c>
      <c r="E61">
        <v>87.5</v>
      </c>
      <c r="J61" t="s">
        <v>34</v>
      </c>
      <c r="K61" t="s">
        <v>16</v>
      </c>
      <c r="L61" t="s">
        <v>25</v>
      </c>
      <c r="M61" t="s">
        <v>19</v>
      </c>
      <c r="N61">
        <v>5</v>
      </c>
      <c r="P61">
        <v>1000</v>
      </c>
      <c r="Q61">
        <v>1300</v>
      </c>
      <c r="R61" t="s">
        <v>13</v>
      </c>
      <c r="S61" t="s">
        <v>52</v>
      </c>
      <c r="T61">
        <v>119</v>
      </c>
      <c r="U61" t="str">
        <f>_xlfn.IFNA(_xlfn.IFS(E61&gt;Dash!$D$46, "Big", E61&lt;Dash!$D$49, "Small", E61&gt;Dash!$D$47, "Good"), "Norm")</f>
        <v>Small</v>
      </c>
      <c r="V61" t="s">
        <v>41</v>
      </c>
      <c r="W61">
        <v>168</v>
      </c>
      <c r="X61" t="s">
        <v>28</v>
      </c>
      <c r="Y61" s="1">
        <v>45254</v>
      </c>
      <c r="Z61">
        <v>32.75</v>
      </c>
      <c r="AA61" t="str">
        <f>_xlfn.IFNA(_xlfn.IFS(Z61&gt;Dash!$E$46, "Big", Z61&lt;Dash!$E$49, "Small", Z61&gt;Dash!$E$47, "Good"), "Norm")</f>
        <v>Small</v>
      </c>
      <c r="AB61">
        <v>47</v>
      </c>
      <c r="AC61" t="str">
        <f>_xlfn.IFNA(_xlfn.IFS(AB61&gt;Dash!$F$46, "Big", AB61&lt;Dash!$F$49, "Small", AB61&gt;Dash!$F$47, "Good"), "Norm")</f>
        <v>Small</v>
      </c>
      <c r="AD61">
        <v>71.75</v>
      </c>
      <c r="AE61" t="str">
        <f>_xlfn.IFNA(_xlfn.IFS(AD61&gt;Dash!$G$46, "Big", AD61&lt;Dash!$G$49, "Small", AD61&gt;Dash!$G$47, "Good"), "Norm")</f>
        <v>Small</v>
      </c>
      <c r="AF61">
        <v>59.25</v>
      </c>
      <c r="AG61" t="str">
        <f>_xlfn.IFNA(_xlfn.IFS(AF61&gt;Dash!$H$46, "Big", AF61&lt;Dash!$H$49, "Small", AF61&gt;Dash!$H$47, "Good"), "Norm")</f>
        <v>Small</v>
      </c>
      <c r="AH61" t="s">
        <v>180</v>
      </c>
      <c r="AI61" t="str">
        <f>_xlfn.IFNA(_xlfn.IFS(AH61&gt;Dash!$I$46, "Big", AH61&lt;Dash!$I$49, "Small", AH61&gt;Dash!$I$47, "Good"), "Norm")</f>
        <v>Big</v>
      </c>
    </row>
    <row r="62" spans="1:35" x14ac:dyDescent="0.25">
      <c r="A62" s="1">
        <v>45257</v>
      </c>
      <c r="B62" t="s">
        <v>23</v>
      </c>
      <c r="C62" t="s">
        <v>13</v>
      </c>
      <c r="D62" t="s">
        <v>52</v>
      </c>
      <c r="E62">
        <v>119</v>
      </c>
      <c r="F62">
        <v>1900</v>
      </c>
      <c r="G62">
        <v>200</v>
      </c>
      <c r="H62">
        <v>1300</v>
      </c>
      <c r="J62" t="s">
        <v>37</v>
      </c>
      <c r="K62" t="s">
        <v>31</v>
      </c>
      <c r="L62" t="s">
        <v>32</v>
      </c>
      <c r="M62" t="s">
        <v>19</v>
      </c>
      <c r="N62">
        <v>8</v>
      </c>
      <c r="P62">
        <v>1300</v>
      </c>
      <c r="Q62">
        <v>1400</v>
      </c>
      <c r="R62" t="s">
        <v>33</v>
      </c>
      <c r="S62">
        <v>1</v>
      </c>
      <c r="T62">
        <v>126</v>
      </c>
      <c r="U62" t="str">
        <f>_xlfn.IFNA(_xlfn.IFS(E62&gt;Dash!$D$46, "Big", E62&lt;Dash!$D$49, "Small", E62&gt;Dash!$D$47, "Good"), "Norm")</f>
        <v>Small</v>
      </c>
      <c r="V62" t="s">
        <v>24</v>
      </c>
      <c r="W62">
        <v>87.5</v>
      </c>
      <c r="X62">
        <v>1</v>
      </c>
      <c r="Y62" s="1">
        <v>45257</v>
      </c>
      <c r="Z62">
        <v>70.25</v>
      </c>
      <c r="AA62" t="str">
        <f>_xlfn.IFNA(_xlfn.IFS(Z62&gt;Dash!$E$46, "Big", Z62&lt;Dash!$E$49, "Small", Z62&gt;Dash!$E$47, "Good"), "Norm")</f>
        <v>Norm</v>
      </c>
      <c r="AB62">
        <v>62.5</v>
      </c>
      <c r="AC62" t="str">
        <f>_xlfn.IFNA(_xlfn.IFS(AB62&gt;Dash!$F$46, "Big", AB62&lt;Dash!$F$49, "Small", AB62&gt;Dash!$F$47, "Good"), "Norm")</f>
        <v>Norm</v>
      </c>
      <c r="AD62">
        <v>95.75</v>
      </c>
      <c r="AE62" t="str">
        <f>_xlfn.IFNA(_xlfn.IFS(AD62&gt;Dash!$G$46, "Big", AD62&lt;Dash!$G$49, "Small", AD62&gt;Dash!$G$47, "Good"), "Norm")</f>
        <v>Small</v>
      </c>
      <c r="AF62">
        <v>91.5</v>
      </c>
      <c r="AG62" t="str">
        <f>_xlfn.IFNA(_xlfn.IFS(AF62&gt;Dash!$H$46, "Big", AF62&lt;Dash!$H$49, "Small", AF62&gt;Dash!$H$47, "Good"), "Norm")</f>
        <v>Small</v>
      </c>
      <c r="AH62">
        <v>7.5</v>
      </c>
      <c r="AI62" t="str">
        <f>_xlfn.IFNA(_xlfn.IFS(AH62&gt;Dash!$I$46, "Big", AH62&lt;Dash!$I$49, "Small", AH62&gt;Dash!$I$47, "Good"), "Norm")</f>
        <v>Small</v>
      </c>
    </row>
    <row r="63" spans="1:35" x14ac:dyDescent="0.25">
      <c r="A63" s="1">
        <v>45258</v>
      </c>
      <c r="B63" t="s">
        <v>19</v>
      </c>
      <c r="C63" t="s">
        <v>33</v>
      </c>
      <c r="D63">
        <v>1</v>
      </c>
      <c r="E63">
        <v>126</v>
      </c>
      <c r="J63" t="s">
        <v>34</v>
      </c>
      <c r="K63" t="s">
        <v>25</v>
      </c>
      <c r="L63" t="s">
        <v>35</v>
      </c>
      <c r="M63" t="s">
        <v>19</v>
      </c>
      <c r="N63">
        <v>8</v>
      </c>
      <c r="P63">
        <v>1300</v>
      </c>
      <c r="Q63">
        <v>1600</v>
      </c>
      <c r="R63" t="s">
        <v>33</v>
      </c>
      <c r="S63" t="s">
        <v>43</v>
      </c>
      <c r="T63">
        <v>195</v>
      </c>
      <c r="U63" t="str">
        <f>_xlfn.IFNA(_xlfn.IFS(E63&gt;Dash!$D$46, "Big", E63&lt;Dash!$D$49, "Small", E63&gt;Dash!$D$47, "Good"), "Norm")</f>
        <v>Small</v>
      </c>
      <c r="V63" t="s">
        <v>13</v>
      </c>
      <c r="W63">
        <v>119</v>
      </c>
      <c r="X63" t="s">
        <v>52</v>
      </c>
      <c r="Y63" s="1">
        <v>45258</v>
      </c>
      <c r="Z63">
        <v>27.5</v>
      </c>
      <c r="AA63" t="str">
        <f>_xlfn.IFNA(_xlfn.IFS(Z63&gt;Dash!$E$46, "Big", Z63&lt;Dash!$E$49, "Small", Z63&gt;Dash!$E$47, "Good"), "Norm")</f>
        <v>Small</v>
      </c>
      <c r="AB63">
        <v>61</v>
      </c>
      <c r="AC63" t="str">
        <f>_xlfn.IFNA(_xlfn.IFS(AB63&gt;Dash!$F$46, "Big", AB63&lt;Dash!$F$49, "Small", AB63&gt;Dash!$F$47, "Good"), "Norm")</f>
        <v>Norm</v>
      </c>
      <c r="AD63">
        <v>126.25</v>
      </c>
      <c r="AE63" t="str">
        <f>_xlfn.IFNA(_xlfn.IFS(AD63&gt;Dash!$G$46, "Big", AD63&lt;Dash!$G$49, "Small", AD63&gt;Dash!$G$47, "Good"), "Norm")</f>
        <v>Norm</v>
      </c>
      <c r="AF63">
        <v>91</v>
      </c>
      <c r="AG63" t="str">
        <f>_xlfn.IFNA(_xlfn.IFS(AF63&gt;Dash!$H$46, "Big", AF63&lt;Dash!$H$49, "Small", AF63&gt;Dash!$H$47, "Good"), "Norm")</f>
        <v>Small</v>
      </c>
      <c r="AH63">
        <v>13.75</v>
      </c>
      <c r="AI63" t="str">
        <f>_xlfn.IFNA(_xlfn.IFS(AH63&gt;Dash!$I$46, "Big", AH63&lt;Dash!$I$49, "Small", AH63&gt;Dash!$I$47, "Good"), "Norm")</f>
        <v>Small</v>
      </c>
    </row>
    <row r="64" spans="1:35" x14ac:dyDescent="0.25">
      <c r="A64" s="1">
        <v>45259</v>
      </c>
      <c r="B64" t="s">
        <v>18</v>
      </c>
      <c r="C64" t="s">
        <v>33</v>
      </c>
      <c r="D64" t="s">
        <v>43</v>
      </c>
      <c r="E64">
        <v>195</v>
      </c>
      <c r="F64">
        <v>2000</v>
      </c>
      <c r="G64">
        <v>100</v>
      </c>
      <c r="J64" t="s">
        <v>29</v>
      </c>
      <c r="K64" t="s">
        <v>35</v>
      </c>
      <c r="L64" t="s">
        <v>17</v>
      </c>
      <c r="M64" t="s">
        <v>19</v>
      </c>
      <c r="N64">
        <v>8</v>
      </c>
      <c r="P64">
        <v>1300</v>
      </c>
      <c r="Q64">
        <v>1500</v>
      </c>
      <c r="R64" t="s">
        <v>33</v>
      </c>
      <c r="S64" t="s">
        <v>14</v>
      </c>
      <c r="T64">
        <v>242.5</v>
      </c>
      <c r="U64" t="str">
        <f>_xlfn.IFNA(_xlfn.IFS(E64&gt;Dash!$D$46, "Big", E64&lt;Dash!$D$49, "Small", E64&gt;Dash!$D$47, "Good"), "Norm")</f>
        <v>Norm</v>
      </c>
      <c r="V64" t="s">
        <v>33</v>
      </c>
      <c r="W64">
        <v>126</v>
      </c>
      <c r="X64">
        <v>1</v>
      </c>
      <c r="Y64" s="1">
        <v>45259</v>
      </c>
      <c r="Z64">
        <v>46</v>
      </c>
      <c r="AA64" t="str">
        <f>_xlfn.IFNA(_xlfn.IFS(Z64&gt;Dash!$E$46, "Big", Z64&lt;Dash!$E$49, "Small", Z64&gt;Dash!$E$47, "Good"), "Norm")</f>
        <v>Norm</v>
      </c>
      <c r="AB64">
        <v>89</v>
      </c>
      <c r="AC64" t="str">
        <f>_xlfn.IFNA(_xlfn.IFS(AB64&gt;Dash!$F$46, "Big", AB64&lt;Dash!$F$49, "Small", AB64&gt;Dash!$F$47, "Good"), "Norm")</f>
        <v>Norm</v>
      </c>
      <c r="AD64">
        <v>176.75</v>
      </c>
      <c r="AE64" t="str">
        <f>_xlfn.IFNA(_xlfn.IFS(AD64&gt;Dash!$G$46, "Big", AD64&lt;Dash!$G$49, "Small", AD64&gt;Dash!$G$47, "Good"), "Norm")</f>
        <v>Norm</v>
      </c>
      <c r="AF64">
        <v>86.25</v>
      </c>
      <c r="AG64" t="str">
        <f>_xlfn.IFNA(_xlfn.IFS(AF64&gt;Dash!$H$46, "Big", AF64&lt;Dash!$H$49, "Small", AF64&gt;Dash!$H$47, "Good"), "Norm")</f>
        <v>Small</v>
      </c>
      <c r="AH64">
        <v>29.75</v>
      </c>
      <c r="AI64" t="str">
        <f>_xlfn.IFNA(_xlfn.IFS(AH64&gt;Dash!$I$46, "Big", AH64&lt;Dash!$I$49, "Small", AH64&gt;Dash!$I$47, "Good"), "Norm")</f>
        <v>Norm</v>
      </c>
    </row>
    <row r="65" spans="1:35" x14ac:dyDescent="0.25">
      <c r="A65" s="1">
        <v>45260</v>
      </c>
      <c r="B65" t="s">
        <v>36</v>
      </c>
      <c r="C65" t="s">
        <v>33</v>
      </c>
      <c r="D65" t="s">
        <v>14</v>
      </c>
      <c r="E65">
        <v>242.5</v>
      </c>
      <c r="F65">
        <v>900</v>
      </c>
      <c r="J65" t="s">
        <v>45</v>
      </c>
      <c r="K65" t="s">
        <v>35</v>
      </c>
      <c r="L65" t="s">
        <v>17</v>
      </c>
      <c r="M65" t="s">
        <v>19</v>
      </c>
      <c r="N65">
        <v>8</v>
      </c>
      <c r="P65">
        <v>1500</v>
      </c>
      <c r="Q65">
        <v>1500</v>
      </c>
      <c r="R65" t="s">
        <v>33</v>
      </c>
      <c r="S65">
        <v>1</v>
      </c>
      <c r="T65">
        <v>186</v>
      </c>
      <c r="U65" t="str">
        <f>_xlfn.IFNA(_xlfn.IFS(E65&gt;Dash!$D$46, "Big", E65&lt;Dash!$D$49, "Small", E65&gt;Dash!$D$47, "Good"), "Norm")</f>
        <v>Norm</v>
      </c>
      <c r="V65" t="s">
        <v>33</v>
      </c>
      <c r="W65">
        <v>195</v>
      </c>
      <c r="X65" t="s">
        <v>43</v>
      </c>
      <c r="Y65" s="1">
        <v>45260</v>
      </c>
      <c r="Z65">
        <v>33.5</v>
      </c>
      <c r="AA65" t="str">
        <f>_xlfn.IFNA(_xlfn.IFS(Z65&gt;Dash!$E$46, "Big", Z65&lt;Dash!$E$49, "Small", Z65&gt;Dash!$E$47, "Good"), "Norm")</f>
        <v>Small</v>
      </c>
      <c r="AB65">
        <v>47.5</v>
      </c>
      <c r="AC65" t="str">
        <f>_xlfn.IFNA(_xlfn.IFS(AB65&gt;Dash!$F$46, "Big", AB65&lt;Dash!$F$49, "Small", AB65&gt;Dash!$F$47, "Good"), "Norm")</f>
        <v>Small</v>
      </c>
      <c r="AD65">
        <v>233</v>
      </c>
      <c r="AE65" t="str">
        <f>_xlfn.IFNA(_xlfn.IFS(AD65&gt;Dash!$G$46, "Big", AD65&lt;Dash!$G$49, "Small", AD65&gt;Dash!$G$47, "Good"), "Norm")</f>
        <v>Good</v>
      </c>
      <c r="AF65">
        <v>135.25</v>
      </c>
      <c r="AG65" t="str">
        <f>_xlfn.IFNA(_xlfn.IFS(AF65&gt;Dash!$H$46, "Big", AF65&lt;Dash!$H$49, "Small", AF65&gt;Dash!$H$47, "Good"), "Norm")</f>
        <v>Norm</v>
      </c>
      <c r="AH65">
        <v>29</v>
      </c>
      <c r="AI65" t="str">
        <f>_xlfn.IFNA(_xlfn.IFS(AH65&gt;Dash!$I$46, "Big", AH65&lt;Dash!$I$49, "Small", AH65&gt;Dash!$I$47, "Good"), "Norm")</f>
        <v>Norm</v>
      </c>
    </row>
    <row r="66" spans="1:35" x14ac:dyDescent="0.25">
      <c r="A66" s="1">
        <v>45261</v>
      </c>
      <c r="B66" t="s">
        <v>26</v>
      </c>
      <c r="C66" t="s">
        <v>33</v>
      </c>
      <c r="D66">
        <v>1</v>
      </c>
      <c r="E66">
        <v>186</v>
      </c>
      <c r="J66" t="s">
        <v>34</v>
      </c>
      <c r="K66" t="s">
        <v>25</v>
      </c>
      <c r="L66" t="s">
        <v>32</v>
      </c>
      <c r="M66" t="s">
        <v>19</v>
      </c>
      <c r="N66">
        <v>8</v>
      </c>
      <c r="P66">
        <v>1000</v>
      </c>
      <c r="Q66">
        <v>1200</v>
      </c>
      <c r="R66" t="s">
        <v>33</v>
      </c>
      <c r="S66" t="s">
        <v>14</v>
      </c>
      <c r="T66">
        <v>246.75</v>
      </c>
      <c r="U66" t="str">
        <f>_xlfn.IFNA(_xlfn.IFS(E66&gt;Dash!$D$46, "Big", E66&lt;Dash!$D$49, "Small", E66&gt;Dash!$D$47, "Good"), "Norm")</f>
        <v>Norm</v>
      </c>
      <c r="V66" t="s">
        <v>33</v>
      </c>
      <c r="W66">
        <v>242.5</v>
      </c>
      <c r="X66" t="s">
        <v>14</v>
      </c>
      <c r="Y66" s="1">
        <v>45261</v>
      </c>
      <c r="Z66">
        <v>24.25</v>
      </c>
      <c r="AA66" t="str">
        <f>_xlfn.IFNA(_xlfn.IFS(Z66&gt;Dash!$E$46, "Big", Z66&lt;Dash!$E$49, "Small", Z66&gt;Dash!$E$47, "Good"), "Norm")</f>
        <v>Small</v>
      </c>
      <c r="AB66">
        <v>81.5</v>
      </c>
      <c r="AC66" t="str">
        <f>_xlfn.IFNA(_xlfn.IFS(AB66&gt;Dash!$F$46, "Big", AB66&lt;Dash!$F$49, "Small", AB66&gt;Dash!$F$47, "Good"), "Norm")</f>
        <v>Norm</v>
      </c>
      <c r="AD66">
        <v>153.75</v>
      </c>
      <c r="AE66" t="str">
        <f>_xlfn.IFNA(_xlfn.IFS(AD66&gt;Dash!$G$46, "Big", AD66&lt;Dash!$G$49, "Small", AD66&gt;Dash!$G$47, "Good"), "Norm")</f>
        <v>Norm</v>
      </c>
      <c r="AF66">
        <v>71.25</v>
      </c>
      <c r="AG66" t="str">
        <f>_xlfn.IFNA(_xlfn.IFS(AF66&gt;Dash!$H$46, "Big", AF66&lt;Dash!$H$49, "Small", AF66&gt;Dash!$H$47, "Good"), "Norm")</f>
        <v>Small</v>
      </c>
      <c r="AH66">
        <v>26.75</v>
      </c>
      <c r="AI66" t="str">
        <f>_xlfn.IFNA(_xlfn.IFS(AH66&gt;Dash!$I$46, "Big", AH66&lt;Dash!$I$49, "Small", AH66&gt;Dash!$I$47, "Good"), "Norm")</f>
        <v>Norm</v>
      </c>
    </row>
    <row r="67" spans="1:35" x14ac:dyDescent="0.25">
      <c r="A67" s="1">
        <v>45264</v>
      </c>
      <c r="B67" t="s">
        <v>23</v>
      </c>
      <c r="C67" t="s">
        <v>33</v>
      </c>
      <c r="D67" t="s">
        <v>14</v>
      </c>
      <c r="E67">
        <v>246.75</v>
      </c>
      <c r="F67">
        <v>900</v>
      </c>
      <c r="G67">
        <v>1500</v>
      </c>
      <c r="J67" t="s">
        <v>45</v>
      </c>
      <c r="K67" t="s">
        <v>32</v>
      </c>
      <c r="L67" t="s">
        <v>25</v>
      </c>
      <c r="M67" t="s">
        <v>19</v>
      </c>
      <c r="N67">
        <v>8</v>
      </c>
      <c r="P67">
        <v>1400</v>
      </c>
      <c r="Q67">
        <v>1500</v>
      </c>
      <c r="R67" t="s">
        <v>41</v>
      </c>
      <c r="S67">
        <v>1</v>
      </c>
      <c r="T67">
        <v>192</v>
      </c>
      <c r="U67" t="str">
        <f>_xlfn.IFNA(_xlfn.IFS(E67&gt;Dash!$D$46, "Big", E67&lt;Dash!$D$49, "Small", E67&gt;Dash!$D$47, "Good"), "Norm")</f>
        <v>Norm</v>
      </c>
      <c r="V67" t="s">
        <v>33</v>
      </c>
      <c r="W67">
        <v>186</v>
      </c>
      <c r="X67">
        <v>1</v>
      </c>
      <c r="Y67" s="1">
        <v>45264</v>
      </c>
      <c r="Z67">
        <v>64.75</v>
      </c>
      <c r="AA67" t="str">
        <f>_xlfn.IFNA(_xlfn.IFS(Z67&gt;Dash!$E$46, "Big", Z67&lt;Dash!$E$49, "Small", Z67&gt;Dash!$E$47, "Good"), "Norm")</f>
        <v>Norm</v>
      </c>
      <c r="AB67">
        <v>74</v>
      </c>
      <c r="AC67" t="str">
        <f>_xlfn.IFNA(_xlfn.IFS(AB67&gt;Dash!$F$46, "Big", AB67&lt;Dash!$F$49, "Small", AB67&gt;Dash!$F$47, "Good"), "Norm")</f>
        <v>Norm</v>
      </c>
      <c r="AD67">
        <v>246.75</v>
      </c>
      <c r="AE67" t="str">
        <f>_xlfn.IFNA(_xlfn.IFS(AD67&gt;Dash!$G$46, "Big", AD67&lt;Dash!$G$49, "Small", AD67&gt;Dash!$G$47, "Good"), "Norm")</f>
        <v>Good</v>
      </c>
      <c r="AF67">
        <v>89.75</v>
      </c>
      <c r="AG67" t="str">
        <f>_xlfn.IFNA(_xlfn.IFS(AF67&gt;Dash!$H$46, "Big", AF67&lt;Dash!$H$49, "Small", AF67&gt;Dash!$H$47, "Good"), "Norm")</f>
        <v>Small</v>
      </c>
      <c r="AH67">
        <v>21.25</v>
      </c>
      <c r="AI67" t="str">
        <f>_xlfn.IFNA(_xlfn.IFS(AH67&gt;Dash!$I$46, "Big", AH67&lt;Dash!$I$49, "Small", AH67&gt;Dash!$I$47, "Good"), "Norm")</f>
        <v>Small</v>
      </c>
    </row>
    <row r="68" spans="1:35" x14ac:dyDescent="0.25">
      <c r="A68" s="1">
        <v>45265</v>
      </c>
      <c r="B68" t="s">
        <v>19</v>
      </c>
      <c r="C68" t="s">
        <v>41</v>
      </c>
      <c r="D68">
        <v>1</v>
      </c>
      <c r="E68">
        <v>192</v>
      </c>
      <c r="J68" t="s">
        <v>34</v>
      </c>
      <c r="K68" t="s">
        <v>39</v>
      </c>
      <c r="L68" t="s">
        <v>35</v>
      </c>
      <c r="M68" t="s">
        <v>19</v>
      </c>
      <c r="N68">
        <v>8</v>
      </c>
      <c r="P68">
        <v>1100</v>
      </c>
      <c r="Q68">
        <v>1200</v>
      </c>
      <c r="R68" t="s">
        <v>33</v>
      </c>
      <c r="S68" t="s">
        <v>43</v>
      </c>
      <c r="T68">
        <v>235.75</v>
      </c>
      <c r="U68" t="str">
        <f>_xlfn.IFNA(_xlfn.IFS(E68&gt;Dash!$D$46, "Big", E68&lt;Dash!$D$49, "Small", E68&gt;Dash!$D$47, "Good"), "Norm")</f>
        <v>Norm</v>
      </c>
      <c r="V68" t="s">
        <v>33</v>
      </c>
      <c r="W68">
        <v>246.75</v>
      </c>
      <c r="X68" t="s">
        <v>14</v>
      </c>
      <c r="Y68" s="1">
        <v>45265</v>
      </c>
      <c r="Z68">
        <v>71</v>
      </c>
      <c r="AA68" t="str">
        <f>_xlfn.IFNA(_xlfn.IFS(Z68&gt;Dash!$E$46, "Big", Z68&lt;Dash!$E$49, "Small", Z68&gt;Dash!$E$47, "Good"), "Norm")</f>
        <v>Norm</v>
      </c>
      <c r="AB68">
        <v>53.5</v>
      </c>
      <c r="AC68" t="str">
        <f>_xlfn.IFNA(_xlfn.IFS(AB68&gt;Dash!$F$46, "Big", AB68&lt;Dash!$F$49, "Small", AB68&gt;Dash!$F$47, "Good"), "Norm")</f>
        <v>Small</v>
      </c>
      <c r="AD68">
        <v>192</v>
      </c>
      <c r="AE68" t="str">
        <f>_xlfn.IFNA(_xlfn.IFS(AD68&gt;Dash!$G$46, "Big", AD68&lt;Dash!$G$49, "Small", AD68&gt;Dash!$G$47, "Good"), "Norm")</f>
        <v>Norm</v>
      </c>
      <c r="AF68">
        <v>85.75</v>
      </c>
      <c r="AG68" t="str">
        <f>_xlfn.IFNA(_xlfn.IFS(AF68&gt;Dash!$H$46, "Big", AF68&lt;Dash!$H$49, "Small", AF68&gt;Dash!$H$47, "Good"), "Norm")</f>
        <v>Small</v>
      </c>
      <c r="AH68">
        <v>29.5</v>
      </c>
      <c r="AI68" t="str">
        <f>_xlfn.IFNA(_xlfn.IFS(AH68&gt;Dash!$I$46, "Big", AH68&lt;Dash!$I$49, "Small", AH68&gt;Dash!$I$47, "Good"), "Norm")</f>
        <v>Norm</v>
      </c>
    </row>
    <row r="69" spans="1:35" x14ac:dyDescent="0.25">
      <c r="A69" s="1">
        <v>45266</v>
      </c>
      <c r="B69" t="s">
        <v>18</v>
      </c>
      <c r="C69" t="s">
        <v>33</v>
      </c>
      <c r="D69" t="s">
        <v>43</v>
      </c>
      <c r="E69">
        <v>235.75</v>
      </c>
      <c r="F69">
        <v>1900</v>
      </c>
      <c r="G69">
        <v>300</v>
      </c>
      <c r="J69" t="s">
        <v>29</v>
      </c>
      <c r="K69" t="s">
        <v>35</v>
      </c>
      <c r="L69" t="s">
        <v>17</v>
      </c>
      <c r="M69" t="s">
        <v>19</v>
      </c>
      <c r="N69">
        <v>8</v>
      </c>
      <c r="P69">
        <v>900</v>
      </c>
      <c r="Q69">
        <v>1500</v>
      </c>
      <c r="R69" t="s">
        <v>20</v>
      </c>
      <c r="S69" t="s">
        <v>38</v>
      </c>
      <c r="T69">
        <v>221.5</v>
      </c>
      <c r="U69" t="str">
        <f>_xlfn.IFNA(_xlfn.IFS(E69&gt;Dash!$D$46, "Big", E69&lt;Dash!$D$49, "Small", E69&gt;Dash!$D$47, "Good"), "Norm")</f>
        <v>Norm</v>
      </c>
      <c r="V69" t="s">
        <v>41</v>
      </c>
      <c r="W69">
        <v>192</v>
      </c>
      <c r="X69">
        <v>1</v>
      </c>
      <c r="Y69" s="1">
        <v>45266</v>
      </c>
      <c r="Z69">
        <v>98.75</v>
      </c>
      <c r="AA69" t="str">
        <f>_xlfn.IFNA(_xlfn.IFS(Z69&gt;Dash!$E$46, "Big", Z69&lt;Dash!$E$49, "Small", Z69&gt;Dash!$E$47, "Good"), "Norm")</f>
        <v>Good</v>
      </c>
      <c r="AB69">
        <v>66.25</v>
      </c>
      <c r="AC69" t="str">
        <f>_xlfn.IFNA(_xlfn.IFS(AB69&gt;Dash!$F$46, "Big", AB69&lt;Dash!$F$49, "Small", AB69&gt;Dash!$F$47, "Good"), "Norm")</f>
        <v>Norm</v>
      </c>
      <c r="AD69">
        <v>174.25</v>
      </c>
      <c r="AE69" t="str">
        <f>_xlfn.IFNA(_xlfn.IFS(AD69&gt;Dash!$G$46, "Big", AD69&lt;Dash!$G$49, "Small", AD69&gt;Dash!$G$47, "Good"), "Norm")</f>
        <v>Norm</v>
      </c>
      <c r="AF69">
        <v>122.75</v>
      </c>
      <c r="AG69" t="str">
        <f>_xlfn.IFNA(_xlfn.IFS(AF69&gt;Dash!$H$46, "Big", AF69&lt;Dash!$H$49, "Small", AF69&gt;Dash!$H$47, "Good"), "Norm")</f>
        <v>Norm</v>
      </c>
      <c r="AH69">
        <v>12.75</v>
      </c>
      <c r="AI69" t="str">
        <f>_xlfn.IFNA(_xlfn.IFS(AH69&gt;Dash!$I$46, "Big", AH69&lt;Dash!$I$49, "Small", AH69&gt;Dash!$I$47, "Good"), "Norm")</f>
        <v>Small</v>
      </c>
    </row>
    <row r="70" spans="1:35" x14ac:dyDescent="0.25">
      <c r="A70" s="1">
        <v>45267</v>
      </c>
      <c r="B70" t="s">
        <v>36</v>
      </c>
      <c r="C70" t="s">
        <v>20</v>
      </c>
      <c r="D70" t="s">
        <v>38</v>
      </c>
      <c r="E70">
        <v>221.5</v>
      </c>
      <c r="F70">
        <v>2000</v>
      </c>
      <c r="G70">
        <v>2000</v>
      </c>
      <c r="H70">
        <v>1200</v>
      </c>
      <c r="J70" t="s">
        <v>37</v>
      </c>
      <c r="K70" t="s">
        <v>39</v>
      </c>
      <c r="L70" t="s">
        <v>32</v>
      </c>
      <c r="M70" t="s">
        <v>19</v>
      </c>
      <c r="N70">
        <v>8</v>
      </c>
      <c r="P70">
        <v>200</v>
      </c>
      <c r="Q70">
        <v>1400</v>
      </c>
      <c r="R70" t="s">
        <v>33</v>
      </c>
      <c r="S70" t="s">
        <v>28</v>
      </c>
      <c r="T70">
        <v>230.5</v>
      </c>
      <c r="U70" t="str">
        <f>_xlfn.IFNA(_xlfn.IFS(E70&gt;Dash!$D$46, "Big", E70&lt;Dash!$D$49, "Small", E70&gt;Dash!$D$47, "Good"), "Norm")</f>
        <v>Norm</v>
      </c>
      <c r="V70" t="s">
        <v>33</v>
      </c>
      <c r="W70">
        <v>235.75</v>
      </c>
      <c r="X70" t="s">
        <v>43</v>
      </c>
      <c r="Y70" s="1">
        <v>45267</v>
      </c>
      <c r="Z70">
        <v>32.5</v>
      </c>
      <c r="AA70" t="str">
        <f>_xlfn.IFNA(_xlfn.IFS(Z70&gt;Dash!$E$46, "Big", Z70&lt;Dash!$E$49, "Small", Z70&gt;Dash!$E$47, "Good"), "Norm")</f>
        <v>Small</v>
      </c>
      <c r="AB70">
        <v>70</v>
      </c>
      <c r="AC70" t="str">
        <f>_xlfn.IFNA(_xlfn.IFS(AB70&gt;Dash!$F$46, "Big", AB70&lt;Dash!$F$49, "Small", AB70&gt;Dash!$F$47, "Good"), "Norm")</f>
        <v>Norm</v>
      </c>
      <c r="AD70">
        <v>183.5</v>
      </c>
      <c r="AE70" t="str">
        <f>_xlfn.IFNA(_xlfn.IFS(AD70&gt;Dash!$G$46, "Big", AD70&lt;Dash!$G$49, "Small", AD70&gt;Dash!$G$47, "Good"), "Norm")</f>
        <v>Norm</v>
      </c>
      <c r="AF70">
        <v>56</v>
      </c>
      <c r="AG70" t="str">
        <f>_xlfn.IFNA(_xlfn.IFS(AF70&gt;Dash!$H$46, "Big", AF70&lt;Dash!$H$49, "Small", AF70&gt;Dash!$H$47, "Good"), "Norm")</f>
        <v>Small</v>
      </c>
      <c r="AH70">
        <v>29.5</v>
      </c>
      <c r="AI70" t="str">
        <f>_xlfn.IFNA(_xlfn.IFS(AH70&gt;Dash!$I$46, "Big", AH70&lt;Dash!$I$49, "Small", AH70&gt;Dash!$I$47, "Good"), "Norm")</f>
        <v>Norm</v>
      </c>
    </row>
    <row r="71" spans="1:35" x14ac:dyDescent="0.25">
      <c r="A71" s="1">
        <v>45268</v>
      </c>
      <c r="B71" t="s">
        <v>26</v>
      </c>
      <c r="C71" t="s">
        <v>33</v>
      </c>
      <c r="D71" t="s">
        <v>28</v>
      </c>
      <c r="E71">
        <v>230.5</v>
      </c>
      <c r="F71">
        <v>1000</v>
      </c>
      <c r="J71" t="s">
        <v>27</v>
      </c>
      <c r="K71" t="s">
        <v>25</v>
      </c>
      <c r="L71" t="s">
        <v>32</v>
      </c>
      <c r="M71" t="s">
        <v>19</v>
      </c>
      <c r="N71">
        <v>8</v>
      </c>
      <c r="P71">
        <v>1200</v>
      </c>
      <c r="Q71">
        <v>1400</v>
      </c>
      <c r="R71" t="s">
        <v>13</v>
      </c>
      <c r="S71" t="s">
        <v>28</v>
      </c>
      <c r="T71">
        <v>401.25</v>
      </c>
      <c r="U71" t="str">
        <f>_xlfn.IFNA(_xlfn.IFS(E71&gt;Dash!$D$46, "Big", E71&lt;Dash!$D$49, "Small", E71&gt;Dash!$D$47, "Good"), "Norm")</f>
        <v>Norm</v>
      </c>
      <c r="V71" t="s">
        <v>20</v>
      </c>
      <c r="W71">
        <v>221.5</v>
      </c>
      <c r="X71" t="s">
        <v>38</v>
      </c>
      <c r="Y71" s="1">
        <v>45268</v>
      </c>
      <c r="Z71">
        <v>24.25</v>
      </c>
      <c r="AA71" t="str">
        <f>_xlfn.IFNA(_xlfn.IFS(Z71&gt;Dash!$E$46, "Big", Z71&lt;Dash!$E$49, "Small", Z71&gt;Dash!$E$47, "Good"), "Norm")</f>
        <v>Small</v>
      </c>
      <c r="AB71">
        <v>68</v>
      </c>
      <c r="AC71" t="str">
        <f>_xlfn.IFNA(_xlfn.IFS(AB71&gt;Dash!$F$46, "Big", AB71&lt;Dash!$F$49, "Small", AB71&gt;Dash!$F$47, "Good"), "Norm")</f>
        <v>Norm</v>
      </c>
      <c r="AD71">
        <v>225.25</v>
      </c>
      <c r="AE71" t="str">
        <f>_xlfn.IFNA(_xlfn.IFS(AD71&gt;Dash!$G$46, "Big", AD71&lt;Dash!$G$49, "Small", AD71&gt;Dash!$G$47, "Good"), "Norm")</f>
        <v>Good</v>
      </c>
      <c r="AF71">
        <v>129.25</v>
      </c>
      <c r="AG71" t="str">
        <f>_xlfn.IFNA(_xlfn.IFS(AF71&gt;Dash!$H$46, "Big", AF71&lt;Dash!$H$49, "Small", AF71&gt;Dash!$H$47, "Good"), "Norm")</f>
        <v>Norm</v>
      </c>
      <c r="AH71">
        <v>12.75</v>
      </c>
      <c r="AI71" t="str">
        <f>_xlfn.IFNA(_xlfn.IFS(AH71&gt;Dash!$I$46, "Big", AH71&lt;Dash!$I$49, "Small", AH71&gt;Dash!$I$47, "Good"), "Norm")</f>
        <v>Small</v>
      </c>
    </row>
    <row r="72" spans="1:35" x14ac:dyDescent="0.25">
      <c r="A72" s="1">
        <v>45271</v>
      </c>
      <c r="B72" t="s">
        <v>23</v>
      </c>
      <c r="C72" t="s">
        <v>13</v>
      </c>
      <c r="D72" t="s">
        <v>28</v>
      </c>
      <c r="E72">
        <v>401.25</v>
      </c>
      <c r="F72">
        <v>900</v>
      </c>
      <c r="J72" t="s">
        <v>27</v>
      </c>
      <c r="K72" t="s">
        <v>31</v>
      </c>
      <c r="L72" t="s">
        <v>32</v>
      </c>
      <c r="M72" t="s">
        <v>19</v>
      </c>
      <c r="N72">
        <v>15</v>
      </c>
      <c r="P72">
        <v>1400</v>
      </c>
      <c r="Q72">
        <v>1500</v>
      </c>
      <c r="R72">
        <v>0</v>
      </c>
      <c r="S72" t="s">
        <v>28</v>
      </c>
      <c r="T72">
        <v>183.25</v>
      </c>
      <c r="U72" t="str">
        <f>_xlfn.IFNA(_xlfn.IFS(E72&gt;Dash!$D$46, "Big", E72&lt;Dash!$D$49, "Small", E72&gt;Dash!$D$47, "Good"), "Norm")</f>
        <v>Good</v>
      </c>
      <c r="V72" t="s">
        <v>33</v>
      </c>
      <c r="W72">
        <v>230.5</v>
      </c>
      <c r="X72" t="s">
        <v>28</v>
      </c>
      <c r="Y72" s="1">
        <v>45271</v>
      </c>
      <c r="Z72">
        <v>65.25</v>
      </c>
      <c r="AA72" t="str">
        <f>_xlfn.IFNA(_xlfn.IFS(Z72&gt;Dash!$E$46, "Big", Z72&lt;Dash!$E$49, "Small", Z72&gt;Dash!$E$47, "Good"), "Norm")</f>
        <v>Norm</v>
      </c>
      <c r="AB72">
        <v>45.25</v>
      </c>
      <c r="AC72" t="str">
        <f>_xlfn.IFNA(_xlfn.IFS(AB72&gt;Dash!$F$46, "Big", AB72&lt;Dash!$F$49, "Small", AB72&gt;Dash!$F$47, "Good"), "Norm")</f>
        <v>Small</v>
      </c>
      <c r="AD72">
        <v>141.5</v>
      </c>
      <c r="AE72" t="str">
        <f>_xlfn.IFNA(_xlfn.IFS(AD72&gt;Dash!$G$46, "Big", AD72&lt;Dash!$G$49, "Small", AD72&gt;Dash!$G$47, "Good"), "Norm")</f>
        <v>Norm</v>
      </c>
      <c r="AF72">
        <v>312.75</v>
      </c>
      <c r="AG72" t="str">
        <f>_xlfn.IFNA(_xlfn.IFS(AF72&gt;Dash!$H$46, "Big", AF72&lt;Dash!$H$49, "Small", AF72&gt;Dash!$H$47, "Good"), "Norm")</f>
        <v>Big</v>
      </c>
      <c r="AH72">
        <v>19</v>
      </c>
      <c r="AI72" t="str">
        <f>_xlfn.IFNA(_xlfn.IFS(AH72&gt;Dash!$I$46, "Big", AH72&lt;Dash!$I$49, "Small", AH72&gt;Dash!$I$47, "Good"), "Norm")</f>
        <v>Small</v>
      </c>
    </row>
    <row r="73" spans="1:35" x14ac:dyDescent="0.25">
      <c r="A73" s="1">
        <v>45272</v>
      </c>
      <c r="B73" t="s">
        <v>19</v>
      </c>
      <c r="D73" t="s">
        <v>28</v>
      </c>
      <c r="E73">
        <v>183.25</v>
      </c>
      <c r="F73">
        <v>1900</v>
      </c>
      <c r="G73">
        <v>800</v>
      </c>
      <c r="J73" t="s">
        <v>29</v>
      </c>
      <c r="K73" t="s">
        <v>25</v>
      </c>
      <c r="L73" t="s">
        <v>44</v>
      </c>
      <c r="M73" t="s">
        <v>19</v>
      </c>
      <c r="N73">
        <v>15</v>
      </c>
      <c r="P73">
        <v>1200</v>
      </c>
      <c r="Q73">
        <v>1600</v>
      </c>
      <c r="R73" t="s">
        <v>33</v>
      </c>
      <c r="S73" t="s">
        <v>28</v>
      </c>
      <c r="T73">
        <v>230.5</v>
      </c>
      <c r="U73" t="str">
        <f>_xlfn.IFNA(_xlfn.IFS(E73&gt;Dash!$D$46, "Big", E73&lt;Dash!$D$49, "Small", E73&gt;Dash!$D$47, "Good"), "Norm")</f>
        <v>Norm</v>
      </c>
      <c r="V73" t="s">
        <v>13</v>
      </c>
      <c r="W73">
        <v>401.25</v>
      </c>
      <c r="X73" t="s">
        <v>28</v>
      </c>
      <c r="Y73" s="1">
        <v>45272</v>
      </c>
      <c r="Z73">
        <v>44</v>
      </c>
      <c r="AA73" t="str">
        <f>_xlfn.IFNA(_xlfn.IFS(Z73&gt;Dash!$E$46, "Big", Z73&lt;Dash!$E$49, "Small", Z73&gt;Dash!$E$47, "Good"), "Norm")</f>
        <v>Norm</v>
      </c>
      <c r="AB73">
        <v>32.75</v>
      </c>
      <c r="AC73" t="str">
        <f>_xlfn.IFNA(_xlfn.IFS(AB73&gt;Dash!$F$46, "Big", AB73&lt;Dash!$F$49, "Small", AB73&gt;Dash!$F$47, "Good"), "Norm")</f>
        <v>Small</v>
      </c>
      <c r="AD73">
        <v>151.5</v>
      </c>
      <c r="AE73" t="str">
        <f>_xlfn.IFNA(_xlfn.IFS(AD73&gt;Dash!$G$46, "Big", AD73&lt;Dash!$G$49, "Small", AD73&gt;Dash!$G$47, "Good"), "Norm")</f>
        <v>Norm</v>
      </c>
      <c r="AF73">
        <v>114.75</v>
      </c>
      <c r="AG73" t="str">
        <f>_xlfn.IFNA(_xlfn.IFS(AF73&gt;Dash!$H$46, "Big", AF73&lt;Dash!$H$49, "Small", AF73&gt;Dash!$H$47, "Good"), "Norm")</f>
        <v>Norm</v>
      </c>
      <c r="AH73">
        <v>26.5</v>
      </c>
      <c r="AI73" t="str">
        <f>_xlfn.IFNA(_xlfn.IFS(AH73&gt;Dash!$I$46, "Big", AH73&lt;Dash!$I$49, "Small", AH73&gt;Dash!$I$47, "Good"), "Norm")</f>
        <v>Norm</v>
      </c>
    </row>
    <row r="74" spans="1:35" x14ac:dyDescent="0.25">
      <c r="A74" s="1">
        <v>45273</v>
      </c>
      <c r="B74" t="s">
        <v>18</v>
      </c>
      <c r="C74" t="s">
        <v>33</v>
      </c>
      <c r="D74" t="s">
        <v>28</v>
      </c>
      <c r="E74">
        <v>230.5</v>
      </c>
      <c r="F74">
        <v>1800</v>
      </c>
      <c r="G74">
        <v>100</v>
      </c>
      <c r="J74" t="s">
        <v>29</v>
      </c>
      <c r="K74" t="s">
        <v>17</v>
      </c>
      <c r="L74" t="s">
        <v>32</v>
      </c>
      <c r="M74" t="s">
        <v>19</v>
      </c>
      <c r="N74">
        <v>15</v>
      </c>
      <c r="P74">
        <v>1300</v>
      </c>
      <c r="Q74">
        <v>1500</v>
      </c>
      <c r="R74" t="s">
        <v>13</v>
      </c>
      <c r="S74" t="s">
        <v>43</v>
      </c>
      <c r="T74">
        <v>249.25</v>
      </c>
      <c r="U74" t="str">
        <f>_xlfn.IFNA(_xlfn.IFS(E74&gt;Dash!$D$46, "Big", E74&lt;Dash!$D$49, "Small", E74&gt;Dash!$D$47, "Good"), "Norm")</f>
        <v>Norm</v>
      </c>
      <c r="V74">
        <v>0</v>
      </c>
      <c r="W74">
        <v>183.25</v>
      </c>
      <c r="X74" t="s">
        <v>28</v>
      </c>
      <c r="Y74" s="1">
        <v>45273</v>
      </c>
      <c r="Z74">
        <v>23.25</v>
      </c>
      <c r="AA74" t="str">
        <f>_xlfn.IFNA(_xlfn.IFS(Z74&gt;Dash!$E$46, "Big", Z74&lt;Dash!$E$49, "Small", Z74&gt;Dash!$E$47, "Good"), "Norm")</f>
        <v>Small</v>
      </c>
      <c r="AB74">
        <v>25</v>
      </c>
      <c r="AC74" t="str">
        <f>_xlfn.IFNA(_xlfn.IFS(AB74&gt;Dash!$F$46, "Big", AB74&lt;Dash!$F$49, "Small", AB74&gt;Dash!$F$47, "Good"), "Norm")</f>
        <v>Small</v>
      </c>
      <c r="AD74">
        <v>60</v>
      </c>
      <c r="AE74" t="str">
        <f>_xlfn.IFNA(_xlfn.IFS(AD74&gt;Dash!$G$46, "Big", AD74&lt;Dash!$G$49, "Small", AD74&gt;Dash!$G$47, "Good"), "Norm")</f>
        <v>Small</v>
      </c>
      <c r="AF74">
        <v>230.5</v>
      </c>
      <c r="AG74" t="str">
        <f>_xlfn.IFNA(_xlfn.IFS(AF74&gt;Dash!$H$46, "Big", AF74&lt;Dash!$H$49, "Small", AF74&gt;Dash!$H$47, "Good"), "Norm")</f>
        <v>Good</v>
      </c>
      <c r="AH74">
        <v>32</v>
      </c>
      <c r="AI74" t="str">
        <f>_xlfn.IFNA(_xlfn.IFS(AH74&gt;Dash!$I$46, "Big", AH74&lt;Dash!$I$49, "Small", AH74&gt;Dash!$I$47, "Good"), "Norm")</f>
        <v>Norm</v>
      </c>
    </row>
    <row r="75" spans="1:35" x14ac:dyDescent="0.25">
      <c r="A75" s="1">
        <v>45274</v>
      </c>
      <c r="B75" t="s">
        <v>36</v>
      </c>
      <c r="C75" t="s">
        <v>13</v>
      </c>
      <c r="D75" t="s">
        <v>43</v>
      </c>
      <c r="E75">
        <v>249.25</v>
      </c>
      <c r="F75">
        <v>1800</v>
      </c>
      <c r="G75">
        <v>1100</v>
      </c>
      <c r="J75" t="s">
        <v>29</v>
      </c>
      <c r="K75" t="s">
        <v>16</v>
      </c>
      <c r="L75" t="s">
        <v>17</v>
      </c>
      <c r="M75" t="s">
        <v>19</v>
      </c>
      <c r="N75">
        <v>15</v>
      </c>
      <c r="P75">
        <v>1300</v>
      </c>
      <c r="Q75">
        <v>1600</v>
      </c>
      <c r="R75" t="s">
        <v>24</v>
      </c>
      <c r="S75" t="s">
        <v>28</v>
      </c>
      <c r="T75">
        <v>130.5</v>
      </c>
      <c r="U75" t="str">
        <f>_xlfn.IFNA(_xlfn.IFS(E75&gt;Dash!$D$46, "Big", E75&lt;Dash!$D$49, "Small", E75&gt;Dash!$D$47, "Good"), "Norm")</f>
        <v>Norm</v>
      </c>
      <c r="V75" t="s">
        <v>33</v>
      </c>
      <c r="W75">
        <v>230.5</v>
      </c>
      <c r="X75" t="s">
        <v>28</v>
      </c>
      <c r="Y75" s="1">
        <v>45274</v>
      </c>
      <c r="Z75">
        <v>109.75</v>
      </c>
      <c r="AA75" t="str">
        <f>_xlfn.IFNA(_xlfn.IFS(Z75&gt;Dash!$E$46, "Big", Z75&lt;Dash!$E$49, "Small", Z75&gt;Dash!$E$47, "Good"), "Norm")</f>
        <v>Good</v>
      </c>
      <c r="AB75">
        <v>57.75</v>
      </c>
      <c r="AC75" t="str">
        <f>_xlfn.IFNA(_xlfn.IFS(AB75&gt;Dash!$F$46, "Big", AB75&lt;Dash!$F$49, "Small", AB75&gt;Dash!$F$47, "Good"), "Norm")</f>
        <v>Norm</v>
      </c>
      <c r="AD75">
        <v>135.25</v>
      </c>
      <c r="AE75" t="str">
        <f>_xlfn.IFNA(_xlfn.IFS(AD75&gt;Dash!$G$46, "Big", AD75&lt;Dash!$G$49, "Small", AD75&gt;Dash!$G$47, "Good"), "Norm")</f>
        <v>Norm</v>
      </c>
      <c r="AF75">
        <v>190</v>
      </c>
      <c r="AG75" t="str">
        <f>_xlfn.IFNA(_xlfn.IFS(AF75&gt;Dash!$H$46, "Big", AF75&lt;Dash!$H$49, "Small", AF75&gt;Dash!$H$47, "Good"), "Norm")</f>
        <v>Good</v>
      </c>
      <c r="AH75">
        <v>26</v>
      </c>
      <c r="AI75" t="str">
        <f>_xlfn.IFNA(_xlfn.IFS(AH75&gt;Dash!$I$46, "Big", AH75&lt;Dash!$I$49, "Small", AH75&gt;Dash!$I$47, "Good"), "Norm")</f>
        <v>Norm</v>
      </c>
    </row>
    <row r="76" spans="1:35" x14ac:dyDescent="0.25">
      <c r="A76" s="1">
        <v>45275</v>
      </c>
      <c r="B76" t="s">
        <v>26</v>
      </c>
      <c r="C76" t="s">
        <v>24</v>
      </c>
      <c r="D76" t="s">
        <v>28</v>
      </c>
      <c r="E76">
        <v>130.5</v>
      </c>
      <c r="F76">
        <v>1100</v>
      </c>
      <c r="G76">
        <v>1100</v>
      </c>
      <c r="J76" t="s">
        <v>27</v>
      </c>
      <c r="K76" t="s">
        <v>31</v>
      </c>
      <c r="L76" t="s">
        <v>35</v>
      </c>
      <c r="M76" t="s">
        <v>19</v>
      </c>
      <c r="N76">
        <v>15</v>
      </c>
      <c r="P76">
        <v>1300</v>
      </c>
      <c r="Q76">
        <v>1500</v>
      </c>
      <c r="R76" t="s">
        <v>13</v>
      </c>
      <c r="S76" t="s">
        <v>28</v>
      </c>
      <c r="T76">
        <v>144</v>
      </c>
      <c r="U76" t="str">
        <f>_xlfn.IFNA(_xlfn.IFS(E76&gt;Dash!$D$46, "Big", E76&lt;Dash!$D$49, "Small", E76&gt;Dash!$D$47, "Good"), "Norm")</f>
        <v>Small</v>
      </c>
      <c r="V76" t="s">
        <v>13</v>
      </c>
      <c r="W76">
        <v>249.25</v>
      </c>
      <c r="X76" t="s">
        <v>43</v>
      </c>
      <c r="Y76" s="1">
        <v>45275</v>
      </c>
      <c r="Z76">
        <v>49</v>
      </c>
      <c r="AA76" t="str">
        <f>_xlfn.IFNA(_xlfn.IFS(Z76&gt;Dash!$E$46, "Big", Z76&lt;Dash!$E$49, "Small", Z76&gt;Dash!$E$47, "Good"), "Norm")</f>
        <v>Norm</v>
      </c>
      <c r="AB76">
        <v>43.25</v>
      </c>
      <c r="AC76" t="str">
        <f>_xlfn.IFNA(_xlfn.IFS(AB76&gt;Dash!$F$46, "Big", AB76&lt;Dash!$F$49, "Small", AB76&gt;Dash!$F$47, "Good"), "Norm")</f>
        <v>Small</v>
      </c>
      <c r="AD76">
        <v>130.5</v>
      </c>
      <c r="AE76" t="str">
        <f>_xlfn.IFNA(_xlfn.IFS(AD76&gt;Dash!$G$46, "Big", AD76&lt;Dash!$G$49, "Small", AD76&gt;Dash!$G$47, "Good"), "Norm")</f>
        <v>Norm</v>
      </c>
      <c r="AF76">
        <v>108</v>
      </c>
      <c r="AG76" t="str">
        <f>_xlfn.IFNA(_xlfn.IFS(AF76&gt;Dash!$H$46, "Big", AF76&lt;Dash!$H$49, "Small", AF76&gt;Dash!$H$47, "Good"), "Norm")</f>
        <v>Norm</v>
      </c>
      <c r="AH76">
        <v>20</v>
      </c>
      <c r="AI76" t="str">
        <f>_xlfn.IFNA(_xlfn.IFS(AH76&gt;Dash!$I$46, "Big", AH76&lt;Dash!$I$49, "Small", AH76&gt;Dash!$I$47, "Good"), "Norm")</f>
        <v>Small</v>
      </c>
    </row>
    <row r="77" spans="1:35" x14ac:dyDescent="0.25">
      <c r="A77" s="1">
        <v>45278</v>
      </c>
      <c r="B77" t="s">
        <v>23</v>
      </c>
      <c r="C77" t="s">
        <v>13</v>
      </c>
      <c r="D77" t="s">
        <v>28</v>
      </c>
      <c r="E77">
        <v>144</v>
      </c>
      <c r="F77">
        <v>1000</v>
      </c>
      <c r="G77">
        <v>1000</v>
      </c>
      <c r="J77" t="s">
        <v>27</v>
      </c>
      <c r="K77" t="s">
        <v>31</v>
      </c>
      <c r="L77" t="s">
        <v>32</v>
      </c>
      <c r="M77" t="s">
        <v>18</v>
      </c>
      <c r="N77">
        <v>5</v>
      </c>
      <c r="P77">
        <v>1100</v>
      </c>
      <c r="Q77">
        <v>1400</v>
      </c>
      <c r="R77" t="s">
        <v>13</v>
      </c>
      <c r="S77" t="s">
        <v>28</v>
      </c>
      <c r="T77">
        <v>83</v>
      </c>
      <c r="U77" t="str">
        <f>_xlfn.IFNA(_xlfn.IFS(E77&gt;Dash!$D$46, "Big", E77&lt;Dash!$D$49, "Small", E77&gt;Dash!$D$47, "Good"), "Norm")</f>
        <v>Small</v>
      </c>
      <c r="V77" t="s">
        <v>24</v>
      </c>
      <c r="W77">
        <v>130.5</v>
      </c>
      <c r="X77" t="s">
        <v>28</v>
      </c>
      <c r="Y77" s="1">
        <v>45278</v>
      </c>
      <c r="Z77">
        <v>56.5</v>
      </c>
      <c r="AA77" t="str">
        <f>_xlfn.IFNA(_xlfn.IFS(Z77&gt;Dash!$E$46, "Big", Z77&lt;Dash!$E$49, "Small", Z77&gt;Dash!$E$47, "Good"), "Norm")</f>
        <v>Norm</v>
      </c>
      <c r="AB77">
        <v>47.5</v>
      </c>
      <c r="AC77" t="str">
        <f>_xlfn.IFNA(_xlfn.IFS(AB77&gt;Dash!$F$46, "Big", AB77&lt;Dash!$F$49, "Small", AB77&gt;Dash!$F$47, "Good"), "Norm")</f>
        <v>Small</v>
      </c>
      <c r="AD77">
        <v>84.75</v>
      </c>
      <c r="AE77" t="str">
        <f>_xlfn.IFNA(_xlfn.IFS(AD77&gt;Dash!$G$46, "Big", AD77&lt;Dash!$G$49, "Small", AD77&gt;Dash!$G$47, "Good"), "Norm")</f>
        <v>Small</v>
      </c>
      <c r="AF77">
        <v>69.25</v>
      </c>
      <c r="AG77" t="str">
        <f>_xlfn.IFNA(_xlfn.IFS(AF77&gt;Dash!$H$46, "Big", AF77&lt;Dash!$H$49, "Small", AF77&gt;Dash!$H$47, "Good"), "Norm")</f>
        <v>Small</v>
      </c>
      <c r="AH77">
        <v>25.75</v>
      </c>
      <c r="AI77" t="str">
        <f>_xlfn.IFNA(_xlfn.IFS(AH77&gt;Dash!$I$46, "Big", AH77&lt;Dash!$I$49, "Small", AH77&gt;Dash!$I$47, "Good"), "Norm")</f>
        <v>Norm</v>
      </c>
    </row>
    <row r="78" spans="1:35" x14ac:dyDescent="0.25">
      <c r="A78" s="1">
        <v>45279</v>
      </c>
      <c r="B78" t="s">
        <v>19</v>
      </c>
      <c r="C78" t="s">
        <v>13</v>
      </c>
      <c r="D78" t="s">
        <v>28</v>
      </c>
      <c r="E78">
        <v>83</v>
      </c>
      <c r="F78">
        <v>700</v>
      </c>
      <c r="G78">
        <v>700</v>
      </c>
      <c r="J78" t="s">
        <v>30</v>
      </c>
      <c r="K78" t="s">
        <v>31</v>
      </c>
      <c r="L78" t="s">
        <v>44</v>
      </c>
      <c r="M78" t="s">
        <v>18</v>
      </c>
      <c r="N78">
        <v>5</v>
      </c>
      <c r="P78">
        <v>1500</v>
      </c>
      <c r="Q78">
        <v>1500</v>
      </c>
      <c r="R78" t="s">
        <v>33</v>
      </c>
      <c r="S78" t="s">
        <v>57</v>
      </c>
      <c r="T78">
        <v>313.25</v>
      </c>
      <c r="U78" t="str">
        <f>_xlfn.IFNA(_xlfn.IFS(E78&gt;Dash!$D$46, "Big", E78&lt;Dash!$D$49, "Small", E78&gt;Dash!$D$47, "Good"), "Norm")</f>
        <v>Small</v>
      </c>
      <c r="V78" t="s">
        <v>13</v>
      </c>
      <c r="W78">
        <v>144</v>
      </c>
      <c r="X78" t="s">
        <v>28</v>
      </c>
      <c r="Y78" s="1">
        <v>45279</v>
      </c>
      <c r="Z78">
        <v>27.5</v>
      </c>
      <c r="AA78" t="str">
        <f>_xlfn.IFNA(_xlfn.IFS(Z78&gt;Dash!$E$46, "Big", Z78&lt;Dash!$E$49, "Small", Z78&gt;Dash!$E$47, "Good"), "Norm")</f>
        <v>Small</v>
      </c>
      <c r="AB78">
        <v>69.25</v>
      </c>
      <c r="AC78" t="str">
        <f>_xlfn.IFNA(_xlfn.IFS(AB78&gt;Dash!$F$46, "Big", AB78&lt;Dash!$F$49, "Small", AB78&gt;Dash!$F$47, "Good"), "Norm")</f>
        <v>Norm</v>
      </c>
      <c r="AD78">
        <v>68</v>
      </c>
      <c r="AE78" t="str">
        <f>_xlfn.IFNA(_xlfn.IFS(AD78&gt;Dash!$G$46, "Big", AD78&lt;Dash!$G$49, "Small", AD78&gt;Dash!$G$47, "Good"), "Norm")</f>
        <v>Small</v>
      </c>
      <c r="AF78">
        <v>62.25</v>
      </c>
      <c r="AG78" t="str">
        <f>_xlfn.IFNA(_xlfn.IFS(AF78&gt;Dash!$H$46, "Big", AF78&lt;Dash!$H$49, "Small", AF78&gt;Dash!$H$47, "Good"), "Norm")</f>
        <v>Small</v>
      </c>
      <c r="AH78">
        <v>14.75</v>
      </c>
      <c r="AI78" t="str">
        <f>_xlfn.IFNA(_xlfn.IFS(AH78&gt;Dash!$I$46, "Big", AH78&lt;Dash!$I$49, "Small", AH78&gt;Dash!$I$47, "Good"), "Norm")</f>
        <v>Small</v>
      </c>
    </row>
    <row r="79" spans="1:35" x14ac:dyDescent="0.25">
      <c r="A79" s="1">
        <v>45280</v>
      </c>
      <c r="B79" t="s">
        <v>18</v>
      </c>
      <c r="C79" t="s">
        <v>33</v>
      </c>
      <c r="D79" t="s">
        <v>57</v>
      </c>
      <c r="E79">
        <v>313.25</v>
      </c>
      <c r="F79">
        <v>1800</v>
      </c>
      <c r="G79">
        <v>1800</v>
      </c>
      <c r="H79">
        <v>1400</v>
      </c>
      <c r="J79" t="s">
        <v>29</v>
      </c>
      <c r="K79" t="s">
        <v>35</v>
      </c>
      <c r="L79" t="s">
        <v>42</v>
      </c>
      <c r="M79" t="s">
        <v>18</v>
      </c>
      <c r="N79">
        <v>5</v>
      </c>
      <c r="P79">
        <v>1300</v>
      </c>
      <c r="Q79">
        <v>1600</v>
      </c>
      <c r="R79" t="s">
        <v>24</v>
      </c>
      <c r="S79">
        <v>1</v>
      </c>
      <c r="T79">
        <v>155.25</v>
      </c>
      <c r="U79" t="str">
        <f>_xlfn.IFNA(_xlfn.IFS(E79&gt;Dash!$D$46, "Big", E79&lt;Dash!$D$49, "Small", E79&gt;Dash!$D$47, "Good"), "Norm")</f>
        <v>Good</v>
      </c>
      <c r="V79" t="s">
        <v>13</v>
      </c>
      <c r="W79">
        <v>83</v>
      </c>
      <c r="X79" t="s">
        <v>28</v>
      </c>
      <c r="Y79" s="1">
        <v>45280</v>
      </c>
      <c r="Z79">
        <v>25.75</v>
      </c>
      <c r="AA79" t="str">
        <f>_xlfn.IFNA(_xlfn.IFS(Z79&gt;Dash!$E$46, "Big", Z79&lt;Dash!$E$49, "Small", Z79&gt;Dash!$E$47, "Good"), "Norm")</f>
        <v>Small</v>
      </c>
      <c r="AB79">
        <v>78.25</v>
      </c>
      <c r="AC79" t="str">
        <f>_xlfn.IFNA(_xlfn.IFS(AB79&gt;Dash!$F$46, "Big", AB79&lt;Dash!$F$49, "Small", AB79&gt;Dash!$F$47, "Good"), "Norm")</f>
        <v>Norm</v>
      </c>
      <c r="AD79">
        <v>103.5</v>
      </c>
      <c r="AE79" t="str">
        <f>_xlfn.IFNA(_xlfn.IFS(AD79&gt;Dash!$G$46, "Big", AD79&lt;Dash!$G$49, "Small", AD79&gt;Dash!$G$47, "Good"), "Norm")</f>
        <v>Small</v>
      </c>
      <c r="AF79">
        <v>305.5</v>
      </c>
      <c r="AG79" t="str">
        <f>_xlfn.IFNA(_xlfn.IFS(AF79&gt;Dash!$H$46, "Big", AF79&lt;Dash!$H$49, "Small", AF79&gt;Dash!$H$47, "Good"), "Norm")</f>
        <v>Big</v>
      </c>
      <c r="AH79">
        <v>36.25</v>
      </c>
      <c r="AI79" t="str">
        <f>_xlfn.IFNA(_xlfn.IFS(AH79&gt;Dash!$I$46, "Big", AH79&lt;Dash!$I$49, "Small", AH79&gt;Dash!$I$47, "Good"), "Norm")</f>
        <v>Norm</v>
      </c>
    </row>
    <row r="80" spans="1:35" x14ac:dyDescent="0.25">
      <c r="A80" s="1">
        <v>45281</v>
      </c>
      <c r="B80" t="s">
        <v>36</v>
      </c>
      <c r="C80" t="s">
        <v>24</v>
      </c>
      <c r="D80">
        <v>1</v>
      </c>
      <c r="E80">
        <v>155.25</v>
      </c>
      <c r="J80" t="s">
        <v>34</v>
      </c>
      <c r="K80" t="s">
        <v>31</v>
      </c>
      <c r="L80" t="s">
        <v>35</v>
      </c>
      <c r="M80" t="s">
        <v>18</v>
      </c>
      <c r="N80">
        <v>5</v>
      </c>
      <c r="P80">
        <v>1300</v>
      </c>
      <c r="Q80">
        <v>1500</v>
      </c>
      <c r="R80" t="s">
        <v>24</v>
      </c>
      <c r="S80" t="s">
        <v>43</v>
      </c>
      <c r="T80">
        <v>145.5</v>
      </c>
      <c r="U80" t="str">
        <f>_xlfn.IFNA(_xlfn.IFS(E80&gt;Dash!$D$46, "Big", E80&lt;Dash!$D$49, "Small", E80&gt;Dash!$D$47, "Good"), "Norm")</f>
        <v>Small</v>
      </c>
      <c r="V80" t="s">
        <v>33</v>
      </c>
      <c r="W80">
        <v>313.25</v>
      </c>
      <c r="X80" t="s">
        <v>57</v>
      </c>
      <c r="Y80" s="1">
        <v>45281</v>
      </c>
      <c r="Z80">
        <v>57.75</v>
      </c>
      <c r="AA80" t="str">
        <f>_xlfn.IFNA(_xlfn.IFS(Z80&gt;Dash!$E$46, "Big", Z80&lt;Dash!$E$49, "Small", Z80&gt;Dash!$E$47, "Good"), "Norm")</f>
        <v>Norm</v>
      </c>
      <c r="AB80">
        <v>48.5</v>
      </c>
      <c r="AC80" t="str">
        <f>_xlfn.IFNA(_xlfn.IFS(AB80&gt;Dash!$F$46, "Big", AB80&lt;Dash!$F$49, "Small", AB80&gt;Dash!$F$47, "Good"), "Norm")</f>
        <v>Small</v>
      </c>
      <c r="AD80">
        <v>127</v>
      </c>
      <c r="AE80" t="str">
        <f>_xlfn.IFNA(_xlfn.IFS(AD80&gt;Dash!$G$46, "Big", AD80&lt;Dash!$G$49, "Small", AD80&gt;Dash!$G$47, "Good"), "Norm")</f>
        <v>Norm</v>
      </c>
      <c r="AF80">
        <v>151</v>
      </c>
      <c r="AG80" t="str">
        <f>_xlfn.IFNA(_xlfn.IFS(AF80&gt;Dash!$H$46, "Big", AF80&lt;Dash!$H$49, "Small", AF80&gt;Dash!$H$47, "Good"), "Norm")</f>
        <v>Good</v>
      </c>
      <c r="AH80">
        <v>15</v>
      </c>
      <c r="AI80" t="str">
        <f>_xlfn.IFNA(_xlfn.IFS(AH80&gt;Dash!$I$46, "Big", AH80&lt;Dash!$I$49, "Small", AH80&gt;Dash!$I$47, "Good"), "Norm")</f>
        <v>Small</v>
      </c>
    </row>
    <row r="81" spans="1:35" x14ac:dyDescent="0.25">
      <c r="A81" s="1">
        <v>45282</v>
      </c>
      <c r="B81" t="s">
        <v>26</v>
      </c>
      <c r="C81" t="s">
        <v>24</v>
      </c>
      <c r="D81" t="s">
        <v>43</v>
      </c>
      <c r="E81">
        <v>145.5</v>
      </c>
      <c r="F81">
        <v>800</v>
      </c>
      <c r="G81">
        <v>1600</v>
      </c>
      <c r="J81" t="s">
        <v>27</v>
      </c>
      <c r="K81" t="s">
        <v>31</v>
      </c>
      <c r="L81" t="s">
        <v>35</v>
      </c>
      <c r="M81" t="s">
        <v>18</v>
      </c>
      <c r="N81">
        <v>5</v>
      </c>
      <c r="O81" t="s">
        <v>67</v>
      </c>
      <c r="P81">
        <v>1300</v>
      </c>
      <c r="Q81">
        <v>1400</v>
      </c>
      <c r="R81" t="s">
        <v>13</v>
      </c>
      <c r="S81" t="s">
        <v>28</v>
      </c>
      <c r="T81">
        <v>114.25</v>
      </c>
      <c r="U81" t="str">
        <f>_xlfn.IFNA(_xlfn.IFS(E81&gt;Dash!$D$46, "Big", E81&lt;Dash!$D$49, "Small", E81&gt;Dash!$D$47, "Good"), "Norm")</f>
        <v>Small</v>
      </c>
      <c r="V81" t="s">
        <v>24</v>
      </c>
      <c r="W81">
        <v>155.25</v>
      </c>
      <c r="X81">
        <v>1</v>
      </c>
      <c r="Y81" s="1">
        <v>45282</v>
      </c>
      <c r="Z81">
        <v>64.75</v>
      </c>
      <c r="AA81" t="str">
        <f>_xlfn.IFNA(_xlfn.IFS(Z81&gt;Dash!$E$46, "Big", Z81&lt;Dash!$E$49, "Small", Z81&gt;Dash!$E$47, "Good"), "Norm")</f>
        <v>Norm</v>
      </c>
      <c r="AB81">
        <v>53.75</v>
      </c>
      <c r="AC81" t="str">
        <f>_xlfn.IFNA(_xlfn.IFS(AB81&gt;Dash!$F$46, "Big", AB81&lt;Dash!$F$49, "Small", AB81&gt;Dash!$F$47, "Good"), "Norm")</f>
        <v>Small</v>
      </c>
      <c r="AD81">
        <v>111</v>
      </c>
      <c r="AE81" t="str">
        <f>_xlfn.IFNA(_xlfn.IFS(AD81&gt;Dash!$G$46, "Big", AD81&lt;Dash!$G$49, "Small", AD81&gt;Dash!$G$47, "Good"), "Norm")</f>
        <v>Small</v>
      </c>
      <c r="AF81">
        <v>125.25</v>
      </c>
      <c r="AG81" t="str">
        <f>_xlfn.IFNA(_xlfn.IFS(AF81&gt;Dash!$H$46, "Big", AF81&lt;Dash!$H$49, "Small", AF81&gt;Dash!$H$47, "Good"), "Norm")</f>
        <v>Norm</v>
      </c>
      <c r="AH81">
        <v>28.75</v>
      </c>
      <c r="AI81" t="str">
        <f>_xlfn.IFNA(_xlfn.IFS(AH81&gt;Dash!$I$46, "Big", AH81&lt;Dash!$I$49, "Small", AH81&gt;Dash!$I$47, "Good"), "Norm")</f>
        <v>Norm</v>
      </c>
    </row>
    <row r="82" spans="1:35" x14ac:dyDescent="0.25">
      <c r="A82" s="1">
        <v>45286</v>
      </c>
      <c r="B82" t="s">
        <v>19</v>
      </c>
      <c r="C82" t="s">
        <v>13</v>
      </c>
      <c r="D82" t="s">
        <v>28</v>
      </c>
      <c r="E82">
        <v>114.25</v>
      </c>
      <c r="F82">
        <v>900</v>
      </c>
      <c r="G82">
        <v>900</v>
      </c>
      <c r="J82" t="s">
        <v>27</v>
      </c>
      <c r="K82" t="s">
        <v>31</v>
      </c>
      <c r="L82" t="s">
        <v>32</v>
      </c>
      <c r="M82" t="s">
        <v>58</v>
      </c>
      <c r="N82">
        <v>0</v>
      </c>
      <c r="P82">
        <v>700</v>
      </c>
      <c r="Q82">
        <v>1500</v>
      </c>
      <c r="R82" t="s">
        <v>33</v>
      </c>
      <c r="S82" t="s">
        <v>28</v>
      </c>
      <c r="T82">
        <v>72.25</v>
      </c>
      <c r="U82" t="str">
        <f>_xlfn.IFNA(_xlfn.IFS(E82&gt;Dash!$D$46, "Big", E82&lt;Dash!$D$49, "Small", E82&gt;Dash!$D$47, "Good"), "Norm")</f>
        <v>Small</v>
      </c>
      <c r="V82" t="s">
        <v>24</v>
      </c>
      <c r="W82">
        <v>145.5</v>
      </c>
      <c r="X82" t="s">
        <v>43</v>
      </c>
      <c r="Y82" s="1">
        <v>45286</v>
      </c>
      <c r="Z82">
        <v>64.25</v>
      </c>
      <c r="AA82" t="str">
        <f>_xlfn.IFNA(_xlfn.IFS(Z82&gt;Dash!$E$46, "Big", Z82&lt;Dash!$E$49, "Small", Z82&gt;Dash!$E$47, "Good"), "Norm")</f>
        <v>Norm</v>
      </c>
      <c r="AB82">
        <v>52.5</v>
      </c>
      <c r="AC82" t="str">
        <f>_xlfn.IFNA(_xlfn.IFS(AB82&gt;Dash!$F$46, "Big", AB82&lt;Dash!$F$49, "Small", AB82&gt;Dash!$F$47, "Good"), "Norm")</f>
        <v>Small</v>
      </c>
      <c r="AD82">
        <v>63.5</v>
      </c>
      <c r="AE82" t="str">
        <f>_xlfn.IFNA(_xlfn.IFS(AD82&gt;Dash!$G$46, "Big", AD82&lt;Dash!$G$49, "Small", AD82&gt;Dash!$G$47, "Good"), "Norm")</f>
        <v>Small</v>
      </c>
      <c r="AF82">
        <v>74.25</v>
      </c>
      <c r="AG82" t="str">
        <f>_xlfn.IFNA(_xlfn.IFS(AF82&gt;Dash!$H$46, "Big", AF82&lt;Dash!$H$49, "Small", AF82&gt;Dash!$H$47, "Good"), "Norm")</f>
        <v>Small</v>
      </c>
      <c r="AH82">
        <v>10.25</v>
      </c>
      <c r="AI82" t="str">
        <f>_xlfn.IFNA(_xlfn.IFS(AH82&gt;Dash!$I$46, "Big", AH82&lt;Dash!$I$49, "Small", AH82&gt;Dash!$I$47, "Good"), "Norm")</f>
        <v>Small</v>
      </c>
    </row>
    <row r="83" spans="1:35" x14ac:dyDescent="0.25">
      <c r="A83" s="1">
        <v>45287</v>
      </c>
      <c r="B83" t="s">
        <v>18</v>
      </c>
      <c r="C83" t="s">
        <v>33</v>
      </c>
      <c r="D83" t="s">
        <v>28</v>
      </c>
      <c r="E83">
        <v>72.25</v>
      </c>
      <c r="F83">
        <v>900</v>
      </c>
      <c r="G83">
        <v>1000</v>
      </c>
      <c r="J83" t="s">
        <v>27</v>
      </c>
      <c r="K83" t="s">
        <v>25</v>
      </c>
      <c r="L83" t="s">
        <v>44</v>
      </c>
      <c r="M83" t="s">
        <v>58</v>
      </c>
      <c r="N83">
        <v>0</v>
      </c>
      <c r="P83">
        <v>1400</v>
      </c>
      <c r="Q83">
        <v>1600</v>
      </c>
      <c r="R83" t="s">
        <v>33</v>
      </c>
      <c r="S83" t="s">
        <v>43</v>
      </c>
      <c r="T83">
        <v>87.5</v>
      </c>
      <c r="U83" t="str">
        <f>_xlfn.IFNA(_xlfn.IFS(E83&gt;Dash!$D$46, "Big", E83&lt;Dash!$D$49, "Small", E83&gt;Dash!$D$47, "Good"), "Norm")</f>
        <v>Small</v>
      </c>
      <c r="V83" t="s">
        <v>13</v>
      </c>
      <c r="W83">
        <v>114.25</v>
      </c>
      <c r="X83" t="s">
        <v>28</v>
      </c>
      <c r="Y83" s="1">
        <v>45287</v>
      </c>
      <c r="Z83">
        <v>28.75</v>
      </c>
      <c r="AA83" t="str">
        <f>_xlfn.IFNA(_xlfn.IFS(Z83&gt;Dash!$E$46, "Big", Z83&lt;Dash!$E$49, "Small", Z83&gt;Dash!$E$47, "Good"), "Norm")</f>
        <v>Small</v>
      </c>
      <c r="AB83">
        <v>28</v>
      </c>
      <c r="AC83" t="str">
        <f>_xlfn.IFNA(_xlfn.IFS(AB83&gt;Dash!$F$46, "Big", AB83&lt;Dash!$F$49, "Small", AB83&gt;Dash!$F$47, "Good"), "Norm")</f>
        <v>Small</v>
      </c>
      <c r="AD83">
        <v>69.25</v>
      </c>
      <c r="AE83" t="str">
        <f>_xlfn.IFNA(_xlfn.IFS(AD83&gt;Dash!$G$46, "Big", AD83&lt;Dash!$G$49, "Small", AD83&gt;Dash!$G$47, "Good"), "Norm")</f>
        <v>Small</v>
      </c>
      <c r="AF83">
        <v>67</v>
      </c>
      <c r="AG83" t="str">
        <f>_xlfn.IFNA(_xlfn.IFS(AF83&gt;Dash!$H$46, "Big", AF83&lt;Dash!$H$49, "Small", AF83&gt;Dash!$H$47, "Good"), "Norm")</f>
        <v>Small</v>
      </c>
      <c r="AH83">
        <v>23.75</v>
      </c>
      <c r="AI83" t="str">
        <f>_xlfn.IFNA(_xlfn.IFS(AH83&gt;Dash!$I$46, "Big", AH83&lt;Dash!$I$49, "Small", AH83&gt;Dash!$I$47, "Good"), "Norm")</f>
        <v>Norm</v>
      </c>
    </row>
    <row r="84" spans="1:35" x14ac:dyDescent="0.25">
      <c r="A84" s="1">
        <v>45288</v>
      </c>
      <c r="B84" t="s">
        <v>36</v>
      </c>
      <c r="C84" t="s">
        <v>33</v>
      </c>
      <c r="D84" t="s">
        <v>43</v>
      </c>
      <c r="E84">
        <v>87.5</v>
      </c>
      <c r="F84">
        <v>1900</v>
      </c>
      <c r="G84">
        <v>900</v>
      </c>
      <c r="J84" t="s">
        <v>29</v>
      </c>
      <c r="K84" t="s">
        <v>35</v>
      </c>
      <c r="L84" t="s">
        <v>17</v>
      </c>
      <c r="M84" t="s">
        <v>58</v>
      </c>
      <c r="N84">
        <v>0</v>
      </c>
      <c r="P84">
        <v>1300</v>
      </c>
      <c r="Q84">
        <v>1500</v>
      </c>
      <c r="R84" t="s">
        <v>41</v>
      </c>
      <c r="S84" t="s">
        <v>43</v>
      </c>
      <c r="T84">
        <v>169.25</v>
      </c>
      <c r="U84" t="str">
        <f>_xlfn.IFNA(_xlfn.IFS(E84&gt;Dash!$D$46, "Big", E84&lt;Dash!$D$49, "Small", E84&gt;Dash!$D$47, "Good"), "Norm")</f>
        <v>Small</v>
      </c>
      <c r="V84" t="s">
        <v>33</v>
      </c>
      <c r="W84">
        <v>72.25</v>
      </c>
      <c r="X84" t="s">
        <v>28</v>
      </c>
      <c r="Y84" s="1">
        <v>45288</v>
      </c>
      <c r="Z84">
        <v>37.5</v>
      </c>
      <c r="AA84" t="str">
        <f>_xlfn.IFNA(_xlfn.IFS(Z84&gt;Dash!$E$46, "Big", Z84&lt;Dash!$E$49, "Small", Z84&gt;Dash!$E$47, "Good"), "Norm")</f>
        <v>Small</v>
      </c>
      <c r="AB84">
        <v>17.75</v>
      </c>
      <c r="AC84" t="str">
        <f>_xlfn.IFNA(_xlfn.IFS(AB84&gt;Dash!$F$46, "Big", AB84&lt;Dash!$F$49, "Small", AB84&gt;Dash!$F$47, "Good"), "Norm")</f>
        <v>Small</v>
      </c>
      <c r="AD84">
        <v>62.5</v>
      </c>
      <c r="AE84" t="str">
        <f>_xlfn.IFNA(_xlfn.IFS(AD84&gt;Dash!$G$46, "Big", AD84&lt;Dash!$G$49, "Small", AD84&gt;Dash!$G$47, "Good"), "Norm")</f>
        <v>Small</v>
      </c>
      <c r="AF84">
        <v>59.75</v>
      </c>
      <c r="AG84" t="str">
        <f>_xlfn.IFNA(_xlfn.IFS(AF84&gt;Dash!$H$46, "Big", AF84&lt;Dash!$H$49, "Small", AF84&gt;Dash!$H$47, "Good"), "Norm")</f>
        <v>Small</v>
      </c>
      <c r="AH84">
        <v>16.25</v>
      </c>
      <c r="AI84" t="str">
        <f>_xlfn.IFNA(_xlfn.IFS(AH84&gt;Dash!$I$46, "Big", AH84&lt;Dash!$I$49, "Small", AH84&gt;Dash!$I$47, "Good"), "Norm")</f>
        <v>Small</v>
      </c>
    </row>
    <row r="85" spans="1:35" x14ac:dyDescent="0.25">
      <c r="A85" s="1">
        <v>45289</v>
      </c>
      <c r="B85" t="s">
        <v>26</v>
      </c>
      <c r="C85" t="s">
        <v>41</v>
      </c>
      <c r="D85" t="s">
        <v>43</v>
      </c>
      <c r="E85">
        <v>169.25</v>
      </c>
      <c r="F85">
        <v>700</v>
      </c>
      <c r="G85">
        <v>700</v>
      </c>
      <c r="J85" t="s">
        <v>45</v>
      </c>
      <c r="K85" t="s">
        <v>22</v>
      </c>
      <c r="L85" t="s">
        <v>25</v>
      </c>
      <c r="M85" t="s">
        <v>58</v>
      </c>
      <c r="N85">
        <v>0</v>
      </c>
      <c r="P85">
        <v>1500</v>
      </c>
      <c r="Q85">
        <v>1500</v>
      </c>
      <c r="R85" t="s">
        <v>13</v>
      </c>
      <c r="S85" t="s">
        <v>14</v>
      </c>
      <c r="T85">
        <v>255.25</v>
      </c>
      <c r="U85" t="str">
        <f>_xlfn.IFNA(_xlfn.IFS(E85&gt;Dash!$D$46, "Big", E85&lt;Dash!$D$49, "Small", E85&gt;Dash!$D$47, "Good"), "Norm")</f>
        <v>Norm</v>
      </c>
      <c r="V85" t="s">
        <v>33</v>
      </c>
      <c r="W85">
        <v>87.5</v>
      </c>
      <c r="X85" t="s">
        <v>43</v>
      </c>
      <c r="Y85" s="1">
        <v>45289</v>
      </c>
      <c r="Z85">
        <v>27.5</v>
      </c>
      <c r="AA85" t="str">
        <f>_xlfn.IFNA(_xlfn.IFS(Z85&gt;Dash!$E$46, "Big", Z85&lt;Dash!$E$49, "Small", Z85&gt;Dash!$E$47, "Good"), "Norm")</f>
        <v>Small</v>
      </c>
      <c r="AB85">
        <v>55.25</v>
      </c>
      <c r="AC85" t="str">
        <f>_xlfn.IFNA(_xlfn.IFS(AB85&gt;Dash!$F$46, "Big", AB85&lt;Dash!$F$49, "Small", AB85&gt;Dash!$F$47, "Good"), "Norm")</f>
        <v>Small</v>
      </c>
      <c r="AD85">
        <v>169.25</v>
      </c>
      <c r="AE85" t="str">
        <f>_xlfn.IFNA(_xlfn.IFS(AD85&gt;Dash!$G$46, "Big", AD85&lt;Dash!$G$49, "Small", AD85&gt;Dash!$G$47, "Good"), "Norm")</f>
        <v>Norm</v>
      </c>
      <c r="AF85">
        <v>106.5</v>
      </c>
      <c r="AG85" t="str">
        <f>_xlfn.IFNA(_xlfn.IFS(AF85&gt;Dash!$H$46, "Big", AF85&lt;Dash!$H$49, "Small", AF85&gt;Dash!$H$47, "Good"), "Norm")</f>
        <v>Norm</v>
      </c>
      <c r="AH85">
        <v>19.5</v>
      </c>
      <c r="AI85" t="str">
        <f>_xlfn.IFNA(_xlfn.IFS(AH85&gt;Dash!$I$46, "Big", AH85&lt;Dash!$I$49, "Small", AH85&gt;Dash!$I$47, "Good"), "Norm")</f>
        <v>Small</v>
      </c>
    </row>
    <row r="86" spans="1:35" x14ac:dyDescent="0.25">
      <c r="A86" s="1">
        <v>45293</v>
      </c>
      <c r="B86" t="s">
        <v>19</v>
      </c>
      <c r="C86" t="s">
        <v>13</v>
      </c>
      <c r="D86" t="s">
        <v>14</v>
      </c>
      <c r="E86">
        <v>255.25</v>
      </c>
      <c r="F86">
        <v>600</v>
      </c>
      <c r="J86" t="s">
        <v>15</v>
      </c>
      <c r="K86" t="s">
        <v>16</v>
      </c>
      <c r="L86" t="s">
        <v>17</v>
      </c>
      <c r="M86" t="s">
        <v>18</v>
      </c>
      <c r="N86">
        <v>8</v>
      </c>
      <c r="R86" t="s">
        <v>13</v>
      </c>
      <c r="S86" t="s">
        <v>14</v>
      </c>
      <c r="T86">
        <v>131.5</v>
      </c>
      <c r="U86" t="str">
        <f>_xlfn.IFNA(_xlfn.IFS(E86&gt;Dash!$D$46, "Big", E86&lt;Dash!$D$49, "Small", E86&gt;Dash!$D$47, "Good"), "Norm")</f>
        <v>Good</v>
      </c>
      <c r="V86" t="s">
        <v>41</v>
      </c>
      <c r="W86">
        <v>169.25</v>
      </c>
      <c r="X86" t="s">
        <v>43</v>
      </c>
      <c r="Y86" s="1">
        <v>45293</v>
      </c>
      <c r="Z86">
        <v>37.5</v>
      </c>
      <c r="AA86" t="str">
        <f>_xlfn.IFNA(_xlfn.IFS(Z86&gt;Dash!$E$46, "Big", Z86&lt;Dash!$E$49, "Small", Z86&gt;Dash!$E$47, "Good"), "Norm")</f>
        <v>Small</v>
      </c>
      <c r="AB86">
        <v>219.75</v>
      </c>
      <c r="AC86" t="str">
        <f>_xlfn.IFNA(_xlfn.IFS(AB86&gt;Dash!$F$46, "Big", AB86&lt;Dash!$F$49, "Small", AB86&gt;Dash!$F$47, "Good"), "Norm")</f>
        <v>Big</v>
      </c>
      <c r="AD86">
        <v>192.75</v>
      </c>
      <c r="AE86" t="str">
        <f>_xlfn.IFNA(_xlfn.IFS(AD86&gt;Dash!$G$46, "Big", AD86&lt;Dash!$G$49, "Small", AD86&gt;Dash!$G$47, "Good"), "Norm")</f>
        <v>Norm</v>
      </c>
      <c r="AF86">
        <v>165.25</v>
      </c>
      <c r="AG86" t="str">
        <f>_xlfn.IFNA(_xlfn.IFS(AF86&gt;Dash!$H$46, "Big", AF86&lt;Dash!$H$49, "Small", AF86&gt;Dash!$H$47, "Good"), "Norm")</f>
        <v>Good</v>
      </c>
      <c r="AH86">
        <v>22.5</v>
      </c>
      <c r="AI86" t="str">
        <f>_xlfn.IFNA(_xlfn.IFS(AH86&gt;Dash!$I$46, "Big", AH86&lt;Dash!$I$49, "Small", AH86&gt;Dash!$I$47, "Good"), "Norm")</f>
        <v>Norm</v>
      </c>
    </row>
    <row r="87" spans="1:35" x14ac:dyDescent="0.25">
      <c r="A87" s="1">
        <v>45294</v>
      </c>
      <c r="B87" t="s">
        <v>18</v>
      </c>
      <c r="C87" t="s">
        <v>13</v>
      </c>
      <c r="D87" t="s">
        <v>14</v>
      </c>
      <c r="E87">
        <v>131.5</v>
      </c>
      <c r="F87">
        <v>700</v>
      </c>
      <c r="J87" t="s">
        <v>30</v>
      </c>
      <c r="K87" t="s">
        <v>16</v>
      </c>
      <c r="L87" t="s">
        <v>17</v>
      </c>
      <c r="M87" t="s">
        <v>18</v>
      </c>
      <c r="N87">
        <v>8</v>
      </c>
      <c r="R87" t="s">
        <v>20</v>
      </c>
      <c r="S87" t="s">
        <v>14</v>
      </c>
      <c r="T87">
        <v>147.75</v>
      </c>
      <c r="U87" t="str">
        <f>_xlfn.IFNA(_xlfn.IFS(E87&gt;Dash!$D$46, "Big", E87&lt;Dash!$D$49, "Small", E87&gt;Dash!$D$47, "Good"), "Norm")</f>
        <v>Small</v>
      </c>
      <c r="V87" t="s">
        <v>13</v>
      </c>
      <c r="W87">
        <v>255.25</v>
      </c>
      <c r="X87" t="s">
        <v>14</v>
      </c>
      <c r="Y87" s="1">
        <v>45294</v>
      </c>
      <c r="Z87">
        <v>48.25</v>
      </c>
      <c r="AA87" t="str">
        <f>_xlfn.IFNA(_xlfn.IFS(Z87&gt;Dash!$E$46, "Big", Z87&lt;Dash!$E$49, "Small", Z87&gt;Dash!$E$47, "Good"), "Norm")</f>
        <v>Norm</v>
      </c>
      <c r="AB87">
        <v>126.75</v>
      </c>
      <c r="AC87" t="str">
        <f>_xlfn.IFNA(_xlfn.IFS(AB87&gt;Dash!$F$46, "Big", AB87&lt;Dash!$F$49, "Small", AB87&gt;Dash!$F$47, "Good"), "Norm")</f>
        <v>Good</v>
      </c>
      <c r="AD87">
        <v>109.5</v>
      </c>
      <c r="AE87" t="str">
        <f>_xlfn.IFNA(_xlfn.IFS(AD87&gt;Dash!$G$46, "Big", AD87&lt;Dash!$G$49, "Small", AD87&gt;Dash!$G$47, "Good"), "Norm")</f>
        <v>Small</v>
      </c>
      <c r="AF87">
        <v>106.75</v>
      </c>
      <c r="AG87" t="str">
        <f>_xlfn.IFNA(_xlfn.IFS(AF87&gt;Dash!$H$46, "Big", AF87&lt;Dash!$H$49, "Small", AF87&gt;Dash!$H$47, "Good"), "Norm")</f>
        <v>Norm</v>
      </c>
      <c r="AH87">
        <v>15.75</v>
      </c>
      <c r="AI87" t="str">
        <f>_xlfn.IFNA(_xlfn.IFS(AH87&gt;Dash!$I$46, "Big", AH87&lt;Dash!$I$49, "Small", AH87&gt;Dash!$I$47, "Good"), "Norm")</f>
        <v>Small</v>
      </c>
    </row>
    <row r="88" spans="1:35" x14ac:dyDescent="0.25">
      <c r="A88" s="1">
        <v>45295</v>
      </c>
      <c r="B88" t="s">
        <v>36</v>
      </c>
      <c r="C88" t="s">
        <v>20</v>
      </c>
      <c r="D88" t="s">
        <v>14</v>
      </c>
      <c r="E88">
        <v>147.75</v>
      </c>
      <c r="F88">
        <v>700</v>
      </c>
      <c r="J88" t="s">
        <v>15</v>
      </c>
      <c r="K88" t="s">
        <v>22</v>
      </c>
      <c r="L88" t="s">
        <v>17</v>
      </c>
      <c r="M88" t="s">
        <v>18</v>
      </c>
      <c r="N88">
        <v>8</v>
      </c>
      <c r="R88" t="s">
        <v>33</v>
      </c>
      <c r="S88" t="s">
        <v>46</v>
      </c>
      <c r="T88">
        <v>243</v>
      </c>
      <c r="U88" t="str">
        <f>_xlfn.IFNA(_xlfn.IFS(E88&gt;Dash!$D$46, "Big", E88&lt;Dash!$D$49, "Small", E88&gt;Dash!$D$47, "Good"), "Norm")</f>
        <v>Small</v>
      </c>
      <c r="V88" t="s">
        <v>13</v>
      </c>
      <c r="W88">
        <v>131.5</v>
      </c>
      <c r="X88" t="s">
        <v>14</v>
      </c>
      <c r="Y88" s="1">
        <v>45295</v>
      </c>
      <c r="Z88">
        <v>37.5</v>
      </c>
      <c r="AA88" t="str">
        <f>_xlfn.IFNA(_xlfn.IFS(Z88&gt;Dash!$E$46, "Big", Z88&lt;Dash!$E$49, "Small", Z88&gt;Dash!$E$47, "Good"), "Norm")</f>
        <v>Small</v>
      </c>
      <c r="AB88">
        <v>82.75</v>
      </c>
      <c r="AC88" t="str">
        <f>_xlfn.IFNA(_xlfn.IFS(AB88&gt;Dash!$F$46, "Big", AB88&lt;Dash!$F$49, "Small", AB88&gt;Dash!$F$47, "Good"), "Norm")</f>
        <v>Norm</v>
      </c>
      <c r="AD88">
        <v>140.5</v>
      </c>
      <c r="AE88" t="str">
        <f>_xlfn.IFNA(_xlfn.IFS(AD88&gt;Dash!$G$46, "Big", AD88&lt;Dash!$G$49, "Small", AD88&gt;Dash!$G$47, "Good"), "Norm")</f>
        <v>Norm</v>
      </c>
      <c r="AF88">
        <v>93</v>
      </c>
      <c r="AG88" t="str">
        <f>_xlfn.IFNA(_xlfn.IFS(AF88&gt;Dash!$H$46, "Big", AF88&lt;Dash!$H$49, "Small", AF88&gt;Dash!$H$47, "Good"), "Norm")</f>
        <v>Norm</v>
      </c>
      <c r="AH88">
        <v>20.75</v>
      </c>
      <c r="AI88" t="str">
        <f>_xlfn.IFNA(_xlfn.IFS(AH88&gt;Dash!$I$46, "Big", AH88&lt;Dash!$I$49, "Small", AH88&gt;Dash!$I$47, "Good"), "Norm")</f>
        <v>Small</v>
      </c>
    </row>
    <row r="89" spans="1:35" x14ac:dyDescent="0.25">
      <c r="A89" s="1">
        <v>45296</v>
      </c>
      <c r="B89" t="s">
        <v>26</v>
      </c>
      <c r="C89" t="s">
        <v>33</v>
      </c>
      <c r="D89" t="s">
        <v>46</v>
      </c>
      <c r="E89">
        <v>243</v>
      </c>
      <c r="F89" t="s">
        <v>163</v>
      </c>
      <c r="G89">
        <v>900</v>
      </c>
      <c r="J89" t="s">
        <v>37</v>
      </c>
      <c r="K89" t="s">
        <v>25</v>
      </c>
      <c r="L89" t="s">
        <v>35</v>
      </c>
      <c r="M89" t="s">
        <v>18</v>
      </c>
      <c r="N89">
        <v>8</v>
      </c>
      <c r="R89" t="s">
        <v>20</v>
      </c>
      <c r="S89" t="s">
        <v>28</v>
      </c>
      <c r="T89">
        <v>341.75</v>
      </c>
      <c r="U89" t="str">
        <f>_xlfn.IFNA(_xlfn.IFS(E89&gt;Dash!$D$46, "Big", E89&lt;Dash!$D$49, "Small", E89&gt;Dash!$D$47, "Good"), "Norm")</f>
        <v>Norm</v>
      </c>
      <c r="V89" t="s">
        <v>20</v>
      </c>
      <c r="W89">
        <v>147.75</v>
      </c>
      <c r="X89" t="s">
        <v>14</v>
      </c>
      <c r="Y89" s="1">
        <v>45296</v>
      </c>
      <c r="Z89">
        <v>67.75</v>
      </c>
      <c r="AA89" t="str">
        <f>_xlfn.IFNA(_xlfn.IFS(Z89&gt;Dash!$E$46, "Big", Z89&lt;Dash!$E$49, "Small", Z89&gt;Dash!$E$47, "Good"), "Norm")</f>
        <v>Norm</v>
      </c>
      <c r="AB89">
        <v>71.25</v>
      </c>
      <c r="AC89" t="str">
        <f>_xlfn.IFNA(_xlfn.IFS(AB89&gt;Dash!$F$46, "Big", AB89&lt;Dash!$F$49, "Small", AB89&gt;Dash!$F$47, "Good"), "Norm")</f>
        <v>Norm</v>
      </c>
      <c r="AD89">
        <v>243</v>
      </c>
      <c r="AE89" t="str">
        <f>_xlfn.IFNA(_xlfn.IFS(AD89&gt;Dash!$G$46, "Big", AD89&lt;Dash!$G$49, "Small", AD89&gt;Dash!$G$47, "Good"), "Norm")</f>
        <v>Good</v>
      </c>
      <c r="AF89">
        <v>115.25</v>
      </c>
      <c r="AG89" t="str">
        <f>_xlfn.IFNA(_xlfn.IFS(AF89&gt;Dash!$H$46, "Big", AF89&lt;Dash!$H$49, "Small", AF89&gt;Dash!$H$47, "Good"), "Norm")</f>
        <v>Norm</v>
      </c>
      <c r="AH89">
        <v>12.75</v>
      </c>
      <c r="AI89" t="str">
        <f>_xlfn.IFNA(_xlfn.IFS(AH89&gt;Dash!$I$46, "Big", AH89&lt;Dash!$I$49, "Small", AH89&gt;Dash!$I$47, "Good"), "Norm")</f>
        <v>Small</v>
      </c>
    </row>
    <row r="90" spans="1:35" x14ac:dyDescent="0.25">
      <c r="A90" s="1">
        <v>45299</v>
      </c>
      <c r="B90" t="s">
        <v>23</v>
      </c>
      <c r="C90" t="s">
        <v>20</v>
      </c>
      <c r="D90" t="s">
        <v>28</v>
      </c>
      <c r="E90">
        <v>341.75</v>
      </c>
      <c r="F90">
        <v>900</v>
      </c>
      <c r="J90" t="s">
        <v>27</v>
      </c>
      <c r="K90" t="s">
        <v>39</v>
      </c>
      <c r="L90" t="s">
        <v>32</v>
      </c>
      <c r="M90" t="s">
        <v>36</v>
      </c>
      <c r="N90">
        <v>6</v>
      </c>
      <c r="R90" t="s">
        <v>33</v>
      </c>
      <c r="S90" t="s">
        <v>28</v>
      </c>
      <c r="T90">
        <v>210.75</v>
      </c>
      <c r="U90" t="str">
        <f>_xlfn.IFNA(_xlfn.IFS(E90&gt;Dash!$D$46, "Big", E90&lt;Dash!$D$49, "Small", E90&gt;Dash!$D$47, "Good"), "Norm")</f>
        <v>Good</v>
      </c>
      <c r="V90" t="s">
        <v>33</v>
      </c>
      <c r="W90">
        <v>243</v>
      </c>
      <c r="X90" t="s">
        <v>46</v>
      </c>
      <c r="Y90" s="1">
        <v>45299</v>
      </c>
      <c r="Z90">
        <v>68.25</v>
      </c>
      <c r="AA90" t="str">
        <f>_xlfn.IFNA(_xlfn.IFS(Z90&gt;Dash!$E$46, "Big", Z90&lt;Dash!$E$49, "Small", Z90&gt;Dash!$E$47, "Good"), "Norm")</f>
        <v>Norm</v>
      </c>
      <c r="AB90">
        <v>108</v>
      </c>
      <c r="AC90" t="str">
        <f>_xlfn.IFNA(_xlfn.IFS(AB90&gt;Dash!$F$46, "Big", AB90&lt;Dash!$F$49, "Small", AB90&gt;Dash!$F$47, "Good"), "Norm")</f>
        <v>Good</v>
      </c>
      <c r="AD90">
        <v>209.75</v>
      </c>
      <c r="AE90" t="str">
        <f>_xlfn.IFNA(_xlfn.IFS(AD90&gt;Dash!$G$46, "Big", AD90&lt;Dash!$G$49, "Small", AD90&gt;Dash!$G$47, "Good"), "Norm")</f>
        <v>Good</v>
      </c>
      <c r="AF90">
        <v>136.75</v>
      </c>
      <c r="AG90" t="str">
        <f>_xlfn.IFNA(_xlfn.IFS(AF90&gt;Dash!$H$46, "Big", AF90&lt;Dash!$H$49, "Small", AF90&gt;Dash!$H$47, "Good"), "Norm")</f>
        <v>Norm</v>
      </c>
      <c r="AH90">
        <v>19.25</v>
      </c>
      <c r="AI90" t="str">
        <f>_xlfn.IFNA(_xlfn.IFS(AH90&gt;Dash!$I$46, "Big", AH90&lt;Dash!$I$49, "Small", AH90&gt;Dash!$I$47, "Good"), "Norm")</f>
        <v>Small</v>
      </c>
    </row>
    <row r="91" spans="1:35" x14ac:dyDescent="0.25">
      <c r="A91" s="1">
        <v>45300</v>
      </c>
      <c r="B91" t="s">
        <v>19</v>
      </c>
      <c r="C91" t="s">
        <v>33</v>
      </c>
      <c r="D91" t="s">
        <v>28</v>
      </c>
      <c r="E91">
        <v>210.75</v>
      </c>
      <c r="F91">
        <v>1100</v>
      </c>
      <c r="J91" t="s">
        <v>27</v>
      </c>
      <c r="K91" t="s">
        <v>25</v>
      </c>
      <c r="L91" t="s">
        <v>32</v>
      </c>
      <c r="M91" t="s">
        <v>36</v>
      </c>
      <c r="N91">
        <v>6</v>
      </c>
      <c r="R91" t="s">
        <v>33</v>
      </c>
      <c r="S91" t="s">
        <v>28</v>
      </c>
      <c r="T91">
        <v>181.5</v>
      </c>
      <c r="U91" t="str">
        <f>_xlfn.IFNA(_xlfn.IFS(E91&gt;Dash!$D$46, "Big", E91&lt;Dash!$D$49, "Small", E91&gt;Dash!$D$47, "Good"), "Norm")</f>
        <v>Norm</v>
      </c>
      <c r="V91" t="s">
        <v>20</v>
      </c>
      <c r="W91">
        <v>341.75</v>
      </c>
      <c r="X91" t="s">
        <v>28</v>
      </c>
      <c r="Y91" s="1">
        <v>45300</v>
      </c>
      <c r="Z91">
        <v>23.5</v>
      </c>
      <c r="AA91" t="str">
        <f>_xlfn.IFNA(_xlfn.IFS(Z91&gt;Dash!$E$46, "Big", Z91&lt;Dash!$E$49, "Small", Z91&gt;Dash!$E$47, "Good"), "Norm")</f>
        <v>Small</v>
      </c>
      <c r="AB91">
        <v>101</v>
      </c>
      <c r="AC91" t="str">
        <f>_xlfn.IFNA(_xlfn.IFS(AB91&gt;Dash!$F$46, "Big", AB91&lt;Dash!$F$49, "Small", AB91&gt;Dash!$F$47, "Good"), "Norm")</f>
        <v>Good</v>
      </c>
      <c r="AD91">
        <v>175.75</v>
      </c>
      <c r="AE91" t="str">
        <f>_xlfn.IFNA(_xlfn.IFS(AD91&gt;Dash!$G$46, "Big", AD91&lt;Dash!$G$49, "Small", AD91&gt;Dash!$G$47, "Good"), "Norm")</f>
        <v>Norm</v>
      </c>
      <c r="AF91">
        <v>92</v>
      </c>
      <c r="AG91" t="str">
        <f>_xlfn.IFNA(_xlfn.IFS(AF91&gt;Dash!$H$46, "Big", AF91&lt;Dash!$H$49, "Small", AF91&gt;Dash!$H$47, "Good"), "Norm")</f>
        <v>Small</v>
      </c>
      <c r="AH91">
        <v>12</v>
      </c>
      <c r="AI91" t="str">
        <f>_xlfn.IFNA(_xlfn.IFS(AH91&gt;Dash!$I$46, "Big", AH91&lt;Dash!$I$49, "Small", AH91&gt;Dash!$I$47, "Good"), "Norm")</f>
        <v>Small</v>
      </c>
    </row>
    <row r="92" spans="1:35" x14ac:dyDescent="0.25">
      <c r="A92" s="1">
        <v>45301</v>
      </c>
      <c r="B92" t="s">
        <v>18</v>
      </c>
      <c r="C92" t="s">
        <v>33</v>
      </c>
      <c r="D92" t="s">
        <v>28</v>
      </c>
      <c r="E92">
        <v>181.5</v>
      </c>
      <c r="F92">
        <v>1400</v>
      </c>
      <c r="J92" t="s">
        <v>30</v>
      </c>
      <c r="K92" t="s">
        <v>25</v>
      </c>
      <c r="L92" t="s">
        <v>32</v>
      </c>
      <c r="M92" t="s">
        <v>36</v>
      </c>
      <c r="N92">
        <v>6</v>
      </c>
      <c r="R92" t="s">
        <v>33</v>
      </c>
      <c r="S92" t="s">
        <v>38</v>
      </c>
      <c r="T92">
        <v>304</v>
      </c>
      <c r="U92" t="str">
        <f>_xlfn.IFNA(_xlfn.IFS(E92&gt;Dash!$D$46, "Big", E92&lt;Dash!$D$49, "Small", E92&gt;Dash!$D$47, "Good"), "Norm")</f>
        <v>Norm</v>
      </c>
      <c r="V92" t="s">
        <v>33</v>
      </c>
      <c r="W92">
        <v>210.75</v>
      </c>
      <c r="X92" t="s">
        <v>28</v>
      </c>
      <c r="Y92" s="1">
        <v>45301</v>
      </c>
      <c r="Z92">
        <v>44.5</v>
      </c>
      <c r="AA92" t="str">
        <f>_xlfn.IFNA(_xlfn.IFS(Z92&gt;Dash!$E$46, "Big", Z92&lt;Dash!$E$49, "Small", Z92&gt;Dash!$E$47, "Good"), "Norm")</f>
        <v>Norm</v>
      </c>
      <c r="AB92">
        <v>96</v>
      </c>
      <c r="AC92" t="str">
        <f>_xlfn.IFNA(_xlfn.IFS(AB92&gt;Dash!$F$46, "Big", AB92&lt;Dash!$F$49, "Small", AB92&gt;Dash!$F$47, "Good"), "Norm")</f>
        <v>Norm</v>
      </c>
      <c r="AD92">
        <v>96</v>
      </c>
      <c r="AE92" t="str">
        <f>_xlfn.IFNA(_xlfn.IFS(AD92&gt;Dash!$G$46, "Big", AD92&lt;Dash!$G$49, "Small", AD92&gt;Dash!$G$47, "Good"), "Norm")</f>
        <v>Small</v>
      </c>
      <c r="AF92">
        <v>113.75</v>
      </c>
      <c r="AG92" t="str">
        <f>_xlfn.IFNA(_xlfn.IFS(AF92&gt;Dash!$H$46, "Big", AF92&lt;Dash!$H$49, "Small", AF92&gt;Dash!$H$47, "Good"), "Norm")</f>
        <v>Norm</v>
      </c>
      <c r="AH92">
        <v>19.25</v>
      </c>
      <c r="AI92" t="str">
        <f>_xlfn.IFNA(_xlfn.IFS(AH92&gt;Dash!$I$46, "Big", AH92&lt;Dash!$I$49, "Small", AH92&gt;Dash!$I$47, "Good"), "Norm")</f>
        <v>Small</v>
      </c>
    </row>
    <row r="93" spans="1:35" x14ac:dyDescent="0.25">
      <c r="A93" s="1">
        <v>45302</v>
      </c>
      <c r="B93" t="s">
        <v>36</v>
      </c>
      <c r="C93" t="s">
        <v>33</v>
      </c>
      <c r="D93" t="s">
        <v>38</v>
      </c>
      <c r="E93">
        <v>304</v>
      </c>
      <c r="F93">
        <v>1900</v>
      </c>
      <c r="G93">
        <v>800</v>
      </c>
      <c r="H93">
        <v>1100</v>
      </c>
      <c r="J93" t="s">
        <v>29</v>
      </c>
      <c r="K93" t="s">
        <v>35</v>
      </c>
      <c r="L93" t="s">
        <v>25</v>
      </c>
      <c r="M93" t="s">
        <v>36</v>
      </c>
      <c r="N93">
        <v>6</v>
      </c>
      <c r="R93" t="s">
        <v>41</v>
      </c>
      <c r="S93">
        <v>1</v>
      </c>
      <c r="T93">
        <v>147.25</v>
      </c>
      <c r="U93" t="str">
        <f>_xlfn.IFNA(_xlfn.IFS(E93&gt;Dash!$D$46, "Big", E93&lt;Dash!$D$49, "Small", E93&gt;Dash!$D$47, "Good"), "Norm")</f>
        <v>Good</v>
      </c>
      <c r="V93" t="s">
        <v>33</v>
      </c>
      <c r="W93">
        <v>181.5</v>
      </c>
      <c r="X93" t="s">
        <v>28</v>
      </c>
      <c r="Y93" s="1">
        <v>45302</v>
      </c>
      <c r="Z93">
        <v>69.5</v>
      </c>
      <c r="AA93" t="str">
        <f>_xlfn.IFNA(_xlfn.IFS(Z93&gt;Dash!$E$46, "Big", Z93&lt;Dash!$E$49, "Small", Z93&gt;Dash!$E$47, "Good"), "Norm")</f>
        <v>Norm</v>
      </c>
      <c r="AB93">
        <v>55.5</v>
      </c>
      <c r="AC93" t="str">
        <f>_xlfn.IFNA(_xlfn.IFS(AB93&gt;Dash!$F$46, "Big", AB93&lt;Dash!$F$49, "Small", AB93&gt;Dash!$F$47, "Good"), "Norm")</f>
        <v>Small</v>
      </c>
      <c r="AD93">
        <v>304</v>
      </c>
      <c r="AE93" t="str">
        <f>_xlfn.IFNA(_xlfn.IFS(AD93&gt;Dash!$G$46, "Big", AD93&lt;Dash!$G$49, "Small", AD93&gt;Dash!$G$47, "Good"), "Norm")</f>
        <v>Good</v>
      </c>
      <c r="AF93">
        <v>212.25</v>
      </c>
      <c r="AG93" t="str">
        <f>_xlfn.IFNA(_xlfn.IFS(AF93&gt;Dash!$H$46, "Big", AF93&lt;Dash!$H$49, "Small", AF93&gt;Dash!$H$47, "Good"), "Norm")</f>
        <v>Good</v>
      </c>
      <c r="AH93">
        <v>13.25</v>
      </c>
      <c r="AI93" t="str">
        <f>_xlfn.IFNA(_xlfn.IFS(AH93&gt;Dash!$I$46, "Big", AH93&lt;Dash!$I$49, "Small", AH93&gt;Dash!$I$47, "Good"), "Norm")</f>
        <v>Small</v>
      </c>
    </row>
    <row r="94" spans="1:35" x14ac:dyDescent="0.25">
      <c r="A94" s="1">
        <v>45303</v>
      </c>
      <c r="B94" t="s">
        <v>26</v>
      </c>
      <c r="C94" t="s">
        <v>41</v>
      </c>
      <c r="D94">
        <v>1</v>
      </c>
      <c r="E94">
        <v>147.25</v>
      </c>
      <c r="J94" t="s">
        <v>34</v>
      </c>
      <c r="K94" t="s">
        <v>39</v>
      </c>
      <c r="L94" t="s">
        <v>35</v>
      </c>
      <c r="M94" t="s">
        <v>36</v>
      </c>
      <c r="N94">
        <v>6</v>
      </c>
      <c r="R94" t="s">
        <v>41</v>
      </c>
      <c r="S94" t="s">
        <v>46</v>
      </c>
      <c r="T94">
        <v>178.75</v>
      </c>
      <c r="U94" t="str">
        <f>_xlfn.IFNA(_xlfn.IFS(E94&gt;Dash!$D$46, "Big", E94&lt;Dash!$D$49, "Small", E94&gt;Dash!$D$47, "Good"), "Norm")</f>
        <v>Small</v>
      </c>
      <c r="V94" t="s">
        <v>33</v>
      </c>
      <c r="W94">
        <v>304</v>
      </c>
      <c r="X94" t="s">
        <v>38</v>
      </c>
      <c r="Y94" s="1">
        <v>45303</v>
      </c>
      <c r="Z94">
        <v>45</v>
      </c>
      <c r="AA94" t="str">
        <f>_xlfn.IFNA(_xlfn.IFS(Z94&gt;Dash!$E$46, "Big", Z94&lt;Dash!$E$49, "Small", Z94&gt;Dash!$E$47, "Good"), "Norm")</f>
        <v>Norm</v>
      </c>
      <c r="AB94">
        <v>111.25</v>
      </c>
      <c r="AC94" t="str">
        <f>_xlfn.IFNA(_xlfn.IFS(AB94&gt;Dash!$F$46, "Big", AB94&lt;Dash!$F$49, "Small", AB94&gt;Dash!$F$47, "Good"), "Norm")</f>
        <v>Good</v>
      </c>
      <c r="AD94">
        <v>147.25</v>
      </c>
      <c r="AE94" t="str">
        <f>_xlfn.IFNA(_xlfn.IFS(AD94&gt;Dash!$G$46, "Big", AD94&lt;Dash!$G$49, "Small", AD94&gt;Dash!$G$47, "Good"), "Norm")</f>
        <v>Norm</v>
      </c>
      <c r="AF94">
        <v>76.75</v>
      </c>
      <c r="AG94" t="str">
        <f>_xlfn.IFNA(_xlfn.IFS(AF94&gt;Dash!$H$46, "Big", AF94&lt;Dash!$H$49, "Small", AF94&gt;Dash!$H$47, "Good"), "Norm")</f>
        <v>Small</v>
      </c>
      <c r="AH94">
        <v>25.5</v>
      </c>
      <c r="AI94" t="str">
        <f>_xlfn.IFNA(_xlfn.IFS(AH94&gt;Dash!$I$46, "Big", AH94&lt;Dash!$I$49, "Small", AH94&gt;Dash!$I$47, "Good"), "Norm")</f>
        <v>Norm</v>
      </c>
    </row>
    <row r="95" spans="1:35" x14ac:dyDescent="0.25">
      <c r="A95" s="1">
        <v>45307</v>
      </c>
      <c r="B95" t="s">
        <v>19</v>
      </c>
      <c r="C95" t="s">
        <v>41</v>
      </c>
      <c r="D95" t="s">
        <v>46</v>
      </c>
      <c r="E95">
        <v>178.75</v>
      </c>
      <c r="F95">
        <v>100</v>
      </c>
      <c r="G95">
        <v>1000</v>
      </c>
      <c r="J95" t="s">
        <v>37</v>
      </c>
      <c r="K95" t="s">
        <v>39</v>
      </c>
      <c r="L95" t="s">
        <v>35</v>
      </c>
      <c r="M95" t="s">
        <v>18</v>
      </c>
      <c r="N95">
        <v>5</v>
      </c>
      <c r="R95" t="s">
        <v>24</v>
      </c>
      <c r="S95" t="s">
        <v>46</v>
      </c>
      <c r="T95">
        <v>201.25</v>
      </c>
      <c r="U95" t="str">
        <f>_xlfn.IFNA(_xlfn.IFS(E95&gt;Dash!$D$46, "Big", E95&lt;Dash!$D$49, "Small", E95&gt;Dash!$D$47, "Good"), "Norm")</f>
        <v>Norm</v>
      </c>
      <c r="V95" t="s">
        <v>41</v>
      </c>
      <c r="W95">
        <v>147.25</v>
      </c>
      <c r="X95">
        <v>1</v>
      </c>
      <c r="Y95" s="1">
        <v>45307</v>
      </c>
      <c r="Z95">
        <v>99</v>
      </c>
      <c r="AA95" t="str">
        <f>_xlfn.IFNA(_xlfn.IFS(Z95&gt;Dash!$E$46, "Big", Z95&lt;Dash!$E$49, "Small", Z95&gt;Dash!$E$47, "Good"), "Norm")</f>
        <v>Good</v>
      </c>
      <c r="AB95">
        <v>105</v>
      </c>
      <c r="AC95" t="str">
        <f>_xlfn.IFNA(_xlfn.IFS(AB95&gt;Dash!$F$46, "Big", AB95&lt;Dash!$F$49, "Small", AB95&gt;Dash!$F$47, "Good"), "Norm")</f>
        <v>Good</v>
      </c>
      <c r="AD95">
        <v>178.75</v>
      </c>
      <c r="AE95" t="str">
        <f>_xlfn.IFNA(_xlfn.IFS(AD95&gt;Dash!$G$46, "Big", AD95&lt;Dash!$G$49, "Small", AD95&gt;Dash!$G$47, "Good"), "Norm")</f>
        <v>Norm</v>
      </c>
      <c r="AF95">
        <v>107.75</v>
      </c>
      <c r="AG95" t="str">
        <f>_xlfn.IFNA(_xlfn.IFS(AF95&gt;Dash!$H$46, "Big", AF95&lt;Dash!$H$49, "Small", AF95&gt;Dash!$H$47, "Good"), "Norm")</f>
        <v>Norm</v>
      </c>
      <c r="AH95">
        <v>20.25</v>
      </c>
      <c r="AI95" t="str">
        <f>_xlfn.IFNA(_xlfn.IFS(AH95&gt;Dash!$I$46, "Big", AH95&lt;Dash!$I$49, "Small", AH95&gt;Dash!$I$47, "Good"), "Norm")</f>
        <v>Small</v>
      </c>
    </row>
    <row r="96" spans="1:35" x14ac:dyDescent="0.25">
      <c r="A96" s="1">
        <v>45308</v>
      </c>
      <c r="B96" t="s">
        <v>18</v>
      </c>
      <c r="C96" t="s">
        <v>24</v>
      </c>
      <c r="D96" t="s">
        <v>46</v>
      </c>
      <c r="E96">
        <v>201.25</v>
      </c>
      <c r="F96">
        <v>800</v>
      </c>
      <c r="G96">
        <v>1400</v>
      </c>
      <c r="J96" t="s">
        <v>45</v>
      </c>
      <c r="K96" t="s">
        <v>16</v>
      </c>
      <c r="L96" t="s">
        <v>25</v>
      </c>
      <c r="M96" t="s">
        <v>18</v>
      </c>
      <c r="N96">
        <v>5</v>
      </c>
      <c r="R96" t="s">
        <v>13</v>
      </c>
      <c r="S96" t="s">
        <v>28</v>
      </c>
      <c r="T96">
        <v>183.25</v>
      </c>
      <c r="U96" t="str">
        <f>_xlfn.IFNA(_xlfn.IFS(E96&gt;Dash!$D$46, "Big", E96&lt;Dash!$D$49, "Small", E96&gt;Dash!$D$47, "Good"), "Norm")</f>
        <v>Norm</v>
      </c>
      <c r="V96" t="s">
        <v>41</v>
      </c>
      <c r="W96">
        <v>178.75</v>
      </c>
      <c r="X96" t="s">
        <v>46</v>
      </c>
      <c r="Y96" s="1">
        <v>45308</v>
      </c>
      <c r="Z96">
        <v>148</v>
      </c>
      <c r="AA96" t="str">
        <f>_xlfn.IFNA(_xlfn.IFS(Z96&gt;Dash!$E$46, "Big", Z96&lt;Dash!$E$49, "Small", Z96&gt;Dash!$E$47, "Good"), "Norm")</f>
        <v>Big</v>
      </c>
      <c r="AB96">
        <v>92</v>
      </c>
      <c r="AC96" t="str">
        <f>_xlfn.IFNA(_xlfn.IFS(AB96&gt;Dash!$F$46, "Big", AB96&lt;Dash!$F$49, "Small", AB96&gt;Dash!$F$47, "Good"), "Norm")</f>
        <v>Norm</v>
      </c>
      <c r="AD96">
        <v>201.25</v>
      </c>
      <c r="AE96" t="str">
        <f>_xlfn.IFNA(_xlfn.IFS(AD96&gt;Dash!$G$46, "Big", AD96&lt;Dash!$G$49, "Small", AD96&gt;Dash!$G$47, "Good"), "Norm")</f>
        <v>Good</v>
      </c>
      <c r="AF96">
        <v>151.75</v>
      </c>
      <c r="AG96" t="str">
        <f>_xlfn.IFNA(_xlfn.IFS(AF96&gt;Dash!$H$46, "Big", AF96&lt;Dash!$H$49, "Small", AF96&gt;Dash!$H$47, "Good"), "Norm")</f>
        <v>Good</v>
      </c>
      <c r="AH96">
        <v>15.25</v>
      </c>
      <c r="AI96" t="str">
        <f>_xlfn.IFNA(_xlfn.IFS(AH96&gt;Dash!$I$46, "Big", AH96&lt;Dash!$I$49, "Small", AH96&gt;Dash!$I$47, "Good"), "Norm")</f>
        <v>Small</v>
      </c>
    </row>
    <row r="97" spans="1:35" x14ac:dyDescent="0.25">
      <c r="A97" s="1">
        <v>45309</v>
      </c>
      <c r="B97" t="s">
        <v>36</v>
      </c>
      <c r="C97" t="s">
        <v>13</v>
      </c>
      <c r="D97" t="s">
        <v>28</v>
      </c>
      <c r="E97">
        <v>183.25</v>
      </c>
      <c r="F97">
        <v>600</v>
      </c>
      <c r="J97" t="s">
        <v>30</v>
      </c>
      <c r="K97" t="s">
        <v>31</v>
      </c>
      <c r="L97" t="s">
        <v>32</v>
      </c>
      <c r="M97" t="s">
        <v>18</v>
      </c>
      <c r="N97">
        <v>5</v>
      </c>
      <c r="R97" t="s">
        <v>13</v>
      </c>
      <c r="S97" t="s">
        <v>28</v>
      </c>
      <c r="T97">
        <v>281.75</v>
      </c>
      <c r="U97" t="str">
        <f>_xlfn.IFNA(_xlfn.IFS(E97&gt;Dash!$D$46, "Big", E97&lt;Dash!$D$49, "Small", E97&gt;Dash!$D$47, "Good"), "Norm")</f>
        <v>Norm</v>
      </c>
      <c r="V97" t="s">
        <v>24</v>
      </c>
      <c r="W97">
        <v>201.25</v>
      </c>
      <c r="X97" t="s">
        <v>46</v>
      </c>
      <c r="Y97" s="1">
        <v>45309</v>
      </c>
      <c r="Z97">
        <v>61.75</v>
      </c>
      <c r="AA97" t="str">
        <f>_xlfn.IFNA(_xlfn.IFS(Z97&gt;Dash!$E$46, "Big", Z97&lt;Dash!$E$49, "Small", Z97&gt;Dash!$E$47, "Good"), "Norm")</f>
        <v>Norm</v>
      </c>
      <c r="AB97">
        <v>155</v>
      </c>
      <c r="AC97" t="str">
        <f>_xlfn.IFNA(_xlfn.IFS(AB97&gt;Dash!$F$46, "Big", AB97&lt;Dash!$F$49, "Small", AB97&gt;Dash!$F$47, "Good"), "Norm")</f>
        <v>Good</v>
      </c>
      <c r="AD97">
        <v>126</v>
      </c>
      <c r="AE97" t="str">
        <f>_xlfn.IFNA(_xlfn.IFS(AD97&gt;Dash!$G$46, "Big", AD97&lt;Dash!$G$49, "Small", AD97&gt;Dash!$G$47, "Good"), "Norm")</f>
        <v>Norm</v>
      </c>
      <c r="AF97">
        <v>183.25</v>
      </c>
      <c r="AG97" t="str">
        <f>_xlfn.IFNA(_xlfn.IFS(AF97&gt;Dash!$H$46, "Big", AF97&lt;Dash!$H$49, "Small", AF97&gt;Dash!$H$47, "Good"), "Norm")</f>
        <v>Good</v>
      </c>
      <c r="AH97">
        <v>32</v>
      </c>
      <c r="AI97" t="str">
        <f>_xlfn.IFNA(_xlfn.IFS(AH97&gt;Dash!$I$46, "Big", AH97&lt;Dash!$I$49, "Small", AH97&gt;Dash!$I$47, "Good"), "Norm")</f>
        <v>Norm</v>
      </c>
    </row>
    <row r="98" spans="1:35" x14ac:dyDescent="0.25">
      <c r="A98" s="1">
        <v>45310</v>
      </c>
      <c r="B98" t="s">
        <v>26</v>
      </c>
      <c r="C98" t="s">
        <v>13</v>
      </c>
      <c r="D98" t="s">
        <v>28</v>
      </c>
      <c r="E98">
        <v>281.75</v>
      </c>
      <c r="F98">
        <v>1800</v>
      </c>
      <c r="J98" t="s">
        <v>29</v>
      </c>
      <c r="K98" t="s">
        <v>31</v>
      </c>
      <c r="L98" t="s">
        <v>44</v>
      </c>
      <c r="M98" t="s">
        <v>18</v>
      </c>
      <c r="N98">
        <v>5</v>
      </c>
      <c r="O98" t="s">
        <v>61</v>
      </c>
      <c r="R98" t="s">
        <v>33</v>
      </c>
      <c r="S98" t="s">
        <v>43</v>
      </c>
      <c r="T98">
        <v>151</v>
      </c>
      <c r="U98" t="str">
        <f>_xlfn.IFNA(_xlfn.IFS(E98&gt;Dash!$D$46, "Big", E98&lt;Dash!$D$49, "Small", E98&gt;Dash!$D$47, "Good"), "Norm")</f>
        <v>Good</v>
      </c>
      <c r="V98" t="s">
        <v>13</v>
      </c>
      <c r="W98">
        <v>183.25</v>
      </c>
      <c r="X98" t="s">
        <v>28</v>
      </c>
      <c r="Y98" s="1">
        <v>45310</v>
      </c>
      <c r="Z98">
        <v>71.25</v>
      </c>
      <c r="AA98" t="str">
        <f>_xlfn.IFNA(_xlfn.IFS(Z98&gt;Dash!$E$46, "Big", Z98&lt;Dash!$E$49, "Small", Z98&gt;Dash!$E$47, "Good"), "Norm")</f>
        <v>Norm</v>
      </c>
      <c r="AB98">
        <v>101.5</v>
      </c>
      <c r="AC98" t="str">
        <f>_xlfn.IFNA(_xlfn.IFS(AB98&gt;Dash!$F$46, "Big", AB98&lt;Dash!$F$49, "Small", AB98&gt;Dash!$F$47, "Good"), "Norm")</f>
        <v>Good</v>
      </c>
      <c r="AD98">
        <v>104.75</v>
      </c>
      <c r="AE98" t="str">
        <f>_xlfn.IFNA(_xlfn.IFS(AD98&gt;Dash!$G$46, "Big", AD98&lt;Dash!$G$49, "Small", AD98&gt;Dash!$G$47, "Good"), "Norm")</f>
        <v>Small</v>
      </c>
      <c r="AF98">
        <v>211.5</v>
      </c>
      <c r="AG98" t="str">
        <f>_xlfn.IFNA(_xlfn.IFS(AF98&gt;Dash!$H$46, "Big", AF98&lt;Dash!$H$49, "Small", AF98&gt;Dash!$H$47, "Good"), "Norm")</f>
        <v>Good</v>
      </c>
      <c r="AH98">
        <v>35</v>
      </c>
      <c r="AI98" t="str">
        <f>_xlfn.IFNA(_xlfn.IFS(AH98&gt;Dash!$I$46, "Big", AH98&lt;Dash!$I$49, "Small", AH98&gt;Dash!$I$47, "Good"), "Norm")</f>
        <v>Norm</v>
      </c>
    </row>
    <row r="99" spans="1:35" x14ac:dyDescent="0.25">
      <c r="A99" s="1">
        <v>45313</v>
      </c>
      <c r="B99" t="s">
        <v>23</v>
      </c>
      <c r="C99" t="s">
        <v>33</v>
      </c>
      <c r="D99" t="s">
        <v>43</v>
      </c>
      <c r="E99">
        <v>151</v>
      </c>
      <c r="F99">
        <v>1800</v>
      </c>
      <c r="G99">
        <v>1000</v>
      </c>
      <c r="J99" t="s">
        <v>29</v>
      </c>
      <c r="K99" t="s">
        <v>35</v>
      </c>
      <c r="L99" t="s">
        <v>17</v>
      </c>
      <c r="M99" t="s">
        <v>18</v>
      </c>
      <c r="N99">
        <v>5</v>
      </c>
      <c r="R99" t="s">
        <v>33</v>
      </c>
      <c r="S99" t="s">
        <v>46</v>
      </c>
      <c r="T99">
        <v>129.5</v>
      </c>
      <c r="U99" t="str">
        <f>_xlfn.IFNA(_xlfn.IFS(E99&gt;Dash!$D$46, "Big", E99&lt;Dash!$D$49, "Small", E99&gt;Dash!$D$47, "Good"), "Norm")</f>
        <v>Small</v>
      </c>
      <c r="V99" t="s">
        <v>13</v>
      </c>
      <c r="W99">
        <v>281.75</v>
      </c>
      <c r="X99" t="s">
        <v>28</v>
      </c>
      <c r="Y99" s="1">
        <v>45313</v>
      </c>
      <c r="Z99">
        <v>103</v>
      </c>
      <c r="AA99" t="str">
        <f>_xlfn.IFNA(_xlfn.IFS(Z99&gt;Dash!$E$46, "Big", Z99&lt;Dash!$E$49, "Small", Z99&gt;Dash!$E$47, "Good"), "Norm")</f>
        <v>Good</v>
      </c>
      <c r="AB99">
        <v>61</v>
      </c>
      <c r="AC99" t="str">
        <f>_xlfn.IFNA(_xlfn.IFS(AB99&gt;Dash!$F$46, "Big", AB99&lt;Dash!$F$49, "Small", AB99&gt;Dash!$F$47, "Good"), "Norm")</f>
        <v>Norm</v>
      </c>
      <c r="AD99">
        <v>146.25</v>
      </c>
      <c r="AE99" t="str">
        <f>_xlfn.IFNA(_xlfn.IFS(AD99&gt;Dash!$G$46, "Big", AD99&lt;Dash!$G$49, "Small", AD99&gt;Dash!$G$47, "Good"), "Norm")</f>
        <v>Norm</v>
      </c>
      <c r="AF99">
        <v>79</v>
      </c>
      <c r="AG99" t="str">
        <f>_xlfn.IFNA(_xlfn.IFS(AF99&gt;Dash!$H$46, "Big", AF99&lt;Dash!$H$49, "Small", AF99&gt;Dash!$H$47, "Good"), "Norm")</f>
        <v>Small</v>
      </c>
      <c r="AH99">
        <v>18</v>
      </c>
      <c r="AI99" t="str">
        <f>_xlfn.IFNA(_xlfn.IFS(AH99&gt;Dash!$I$46, "Big", AH99&lt;Dash!$I$49, "Small", AH99&gt;Dash!$I$47, "Good"), "Norm")</f>
        <v>Small</v>
      </c>
    </row>
    <row r="100" spans="1:35" x14ac:dyDescent="0.25">
      <c r="A100" s="1">
        <v>45314</v>
      </c>
      <c r="B100" t="s">
        <v>19</v>
      </c>
      <c r="C100" t="s">
        <v>33</v>
      </c>
      <c r="D100" t="s">
        <v>46</v>
      </c>
      <c r="E100">
        <v>129.5</v>
      </c>
      <c r="F100">
        <v>300</v>
      </c>
      <c r="G100">
        <v>400</v>
      </c>
      <c r="J100" t="s">
        <v>15</v>
      </c>
      <c r="K100" t="s">
        <v>25</v>
      </c>
      <c r="L100" t="s">
        <v>44</v>
      </c>
      <c r="M100" t="s">
        <v>18</v>
      </c>
      <c r="N100">
        <v>5</v>
      </c>
      <c r="O100" t="s">
        <v>62</v>
      </c>
      <c r="R100" t="s">
        <v>13</v>
      </c>
      <c r="S100" t="s">
        <v>28</v>
      </c>
      <c r="T100">
        <v>189.5</v>
      </c>
      <c r="U100" t="str">
        <f>_xlfn.IFNA(_xlfn.IFS(E100&gt;Dash!$D$46, "Big", E100&lt;Dash!$D$49, "Small", E100&gt;Dash!$D$47, "Good"), "Norm")</f>
        <v>Small</v>
      </c>
      <c r="V100" t="s">
        <v>33</v>
      </c>
      <c r="W100">
        <v>151</v>
      </c>
      <c r="X100" t="s">
        <v>43</v>
      </c>
      <c r="Y100" s="1">
        <v>45314</v>
      </c>
      <c r="Z100">
        <v>37.75</v>
      </c>
      <c r="AA100" t="str">
        <f>_xlfn.IFNA(_xlfn.IFS(Z100&gt;Dash!$E$46, "Big", Z100&lt;Dash!$E$49, "Small", Z100&gt;Dash!$E$47, "Good"), "Norm")</f>
        <v>Small</v>
      </c>
      <c r="AB100">
        <v>67.25</v>
      </c>
      <c r="AC100" t="str">
        <f>_xlfn.IFNA(_xlfn.IFS(AB100&gt;Dash!$F$46, "Big", AB100&lt;Dash!$F$49, "Small", AB100&gt;Dash!$F$47, "Good"), "Norm")</f>
        <v>Norm</v>
      </c>
      <c r="AD100">
        <v>116</v>
      </c>
      <c r="AE100" t="str">
        <f>_xlfn.IFNA(_xlfn.IFS(AD100&gt;Dash!$G$46, "Big", AD100&lt;Dash!$G$49, "Small", AD100&gt;Dash!$G$47, "Good"), "Norm")</f>
        <v>Norm</v>
      </c>
      <c r="AF100">
        <v>97.24</v>
      </c>
      <c r="AG100" t="str">
        <f>_xlfn.IFNA(_xlfn.IFS(AF100&gt;Dash!$H$46, "Big", AF100&lt;Dash!$H$49, "Small", AF100&gt;Dash!$H$47, "Good"), "Norm")</f>
        <v>Norm</v>
      </c>
      <c r="AH100">
        <v>48</v>
      </c>
      <c r="AI100" t="str">
        <f>_xlfn.IFNA(_xlfn.IFS(AH100&gt;Dash!$I$46, "Big", AH100&lt;Dash!$I$49, "Small", AH100&gt;Dash!$I$47, "Good"), "Norm")</f>
        <v>Good</v>
      </c>
    </row>
    <row r="101" spans="1:35" x14ac:dyDescent="0.25">
      <c r="A101" s="1">
        <v>45315</v>
      </c>
      <c r="B101" t="s">
        <v>18</v>
      </c>
      <c r="C101" t="s">
        <v>13</v>
      </c>
      <c r="D101" t="s">
        <v>28</v>
      </c>
      <c r="E101">
        <v>189.5</v>
      </c>
      <c r="F101">
        <v>1800</v>
      </c>
      <c r="J101" t="s">
        <v>29</v>
      </c>
      <c r="K101" t="s">
        <v>31</v>
      </c>
      <c r="L101" t="s">
        <v>32</v>
      </c>
      <c r="M101" t="s">
        <v>18</v>
      </c>
      <c r="N101">
        <v>5</v>
      </c>
      <c r="O101" t="s">
        <v>63</v>
      </c>
      <c r="R101" t="s">
        <v>33</v>
      </c>
      <c r="S101" t="s">
        <v>46</v>
      </c>
      <c r="T101">
        <v>210</v>
      </c>
      <c r="U101" t="str">
        <f>_xlfn.IFNA(_xlfn.IFS(E101&gt;Dash!$D$46, "Big", E101&lt;Dash!$D$49, "Small", E101&gt;Dash!$D$47, "Good"), "Norm")</f>
        <v>Norm</v>
      </c>
      <c r="V101" t="s">
        <v>33</v>
      </c>
      <c r="W101">
        <v>129.5</v>
      </c>
      <c r="X101" t="s">
        <v>46</v>
      </c>
      <c r="Y101" s="1">
        <v>45315</v>
      </c>
      <c r="Z101">
        <v>79.25</v>
      </c>
      <c r="AA101" t="str">
        <f>_xlfn.IFNA(_xlfn.IFS(Z101&gt;Dash!$E$46, "Big", Z101&lt;Dash!$E$49, "Small", Z101&gt;Dash!$E$47, "Good"), "Norm")</f>
        <v>Good</v>
      </c>
      <c r="AB101">
        <v>54.25</v>
      </c>
      <c r="AC101" t="str">
        <f>_xlfn.IFNA(_xlfn.IFS(AB101&gt;Dash!$F$46, "Big", AB101&lt;Dash!$F$49, "Small", AB101&gt;Dash!$F$47, "Good"), "Norm")</f>
        <v>Small</v>
      </c>
      <c r="AD101">
        <v>127.5</v>
      </c>
      <c r="AE101" t="str">
        <f>_xlfn.IFNA(_xlfn.IFS(AD101&gt;Dash!$G$46, "Big", AD101&lt;Dash!$G$49, "Small", AD101&gt;Dash!$G$47, "Good"), "Norm")</f>
        <v>Norm</v>
      </c>
      <c r="AF101">
        <v>189.5</v>
      </c>
      <c r="AG101" t="str">
        <f>_xlfn.IFNA(_xlfn.IFS(AF101&gt;Dash!$H$46, "Big", AF101&lt;Dash!$H$49, "Small", AF101&gt;Dash!$H$47, "Good"), "Norm")</f>
        <v>Good</v>
      </c>
      <c r="AH101">
        <v>66</v>
      </c>
      <c r="AI101" t="str">
        <f>_xlfn.IFNA(_xlfn.IFS(AH101&gt;Dash!$I$46, "Big", AH101&lt;Dash!$I$49, "Small", AH101&gt;Dash!$I$47, "Good"), "Norm")</f>
        <v>Good</v>
      </c>
    </row>
    <row r="102" spans="1:35" x14ac:dyDescent="0.25">
      <c r="A102" s="1">
        <v>45316</v>
      </c>
      <c r="B102" t="s">
        <v>36</v>
      </c>
      <c r="C102" t="s">
        <v>33</v>
      </c>
      <c r="D102" t="s">
        <v>46</v>
      </c>
      <c r="E102">
        <v>210</v>
      </c>
      <c r="F102">
        <v>1400</v>
      </c>
      <c r="G102">
        <v>1500</v>
      </c>
      <c r="J102" t="s">
        <v>21</v>
      </c>
      <c r="K102" t="s">
        <v>35</v>
      </c>
      <c r="L102" t="s">
        <v>17</v>
      </c>
      <c r="M102" t="s">
        <v>18</v>
      </c>
      <c r="N102">
        <v>5</v>
      </c>
      <c r="R102" t="s">
        <v>20</v>
      </c>
      <c r="S102" t="s">
        <v>14</v>
      </c>
      <c r="T102">
        <v>128.5</v>
      </c>
      <c r="U102" t="str">
        <f>_xlfn.IFNA(_xlfn.IFS(E102&gt;Dash!$D$46, "Big", E102&lt;Dash!$D$49, "Small", E102&gt;Dash!$D$47, "Good"), "Norm")</f>
        <v>Norm</v>
      </c>
      <c r="V102" t="s">
        <v>13</v>
      </c>
      <c r="W102">
        <v>189.5</v>
      </c>
      <c r="X102" t="s">
        <v>28</v>
      </c>
      <c r="Y102" s="1">
        <v>45316</v>
      </c>
      <c r="Z102">
        <v>46.5</v>
      </c>
      <c r="AA102" t="str">
        <f>_xlfn.IFNA(_xlfn.IFS(Z102&gt;Dash!$E$46, "Big", Z102&lt;Dash!$E$49, "Small", Z102&gt;Dash!$E$47, "Good"), "Norm")</f>
        <v>Norm</v>
      </c>
      <c r="AB102">
        <v>61</v>
      </c>
      <c r="AC102" t="str">
        <f>_xlfn.IFNA(_xlfn.IFS(AB102&gt;Dash!$F$46, "Big", AB102&lt;Dash!$F$49, "Small", AB102&gt;Dash!$F$47, "Good"), "Norm")</f>
        <v>Norm</v>
      </c>
      <c r="AD102">
        <v>138.25</v>
      </c>
      <c r="AE102" t="str">
        <f>_xlfn.IFNA(_xlfn.IFS(AD102&gt;Dash!$G$46, "Big", AD102&lt;Dash!$G$49, "Small", AD102&gt;Dash!$G$47, "Good"), "Norm")</f>
        <v>Norm</v>
      </c>
      <c r="AF102">
        <v>190</v>
      </c>
      <c r="AG102" t="str">
        <f>_xlfn.IFNA(_xlfn.IFS(AF102&gt;Dash!$H$46, "Big", AF102&lt;Dash!$H$49, "Small", AF102&gt;Dash!$H$47, "Good"), "Norm")</f>
        <v>Good</v>
      </c>
      <c r="AH102">
        <v>71.5</v>
      </c>
      <c r="AI102" t="str">
        <f>_xlfn.IFNA(_xlfn.IFS(AH102&gt;Dash!$I$46, "Big", AH102&lt;Dash!$I$49, "Small", AH102&gt;Dash!$I$47, "Good"), "Norm")</f>
        <v>Good</v>
      </c>
    </row>
    <row r="103" spans="1:35" x14ac:dyDescent="0.25">
      <c r="A103" s="1">
        <v>45317</v>
      </c>
      <c r="B103" t="s">
        <v>26</v>
      </c>
      <c r="C103" t="s">
        <v>20</v>
      </c>
      <c r="D103" t="s">
        <v>14</v>
      </c>
      <c r="E103">
        <v>128.5</v>
      </c>
      <c r="F103">
        <v>1800</v>
      </c>
      <c r="G103">
        <v>600</v>
      </c>
      <c r="J103" t="s">
        <v>37</v>
      </c>
      <c r="K103" t="s">
        <v>39</v>
      </c>
      <c r="L103" t="s">
        <v>32</v>
      </c>
      <c r="M103" t="s">
        <v>18</v>
      </c>
      <c r="N103">
        <v>5</v>
      </c>
      <c r="R103" t="s">
        <v>13</v>
      </c>
      <c r="S103" t="s">
        <v>38</v>
      </c>
      <c r="T103">
        <v>196.5</v>
      </c>
      <c r="U103" t="str">
        <f>_xlfn.IFNA(_xlfn.IFS(E103&gt;Dash!$D$46, "Big", E103&lt;Dash!$D$49, "Small", E103&gt;Dash!$D$47, "Good"), "Norm")</f>
        <v>Small</v>
      </c>
      <c r="V103" t="s">
        <v>33</v>
      </c>
      <c r="W103">
        <v>210</v>
      </c>
      <c r="X103" t="s">
        <v>46</v>
      </c>
      <c r="Y103" s="1">
        <v>45317</v>
      </c>
      <c r="Z103">
        <v>92</v>
      </c>
      <c r="AA103" t="str">
        <f>_xlfn.IFNA(_xlfn.IFS(Z103&gt;Dash!$E$46, "Big", Z103&lt;Dash!$E$49, "Small", Z103&gt;Dash!$E$47, "Good"), "Norm")</f>
        <v>Good</v>
      </c>
      <c r="AB103">
        <v>124.25</v>
      </c>
      <c r="AC103" t="str">
        <f>_xlfn.IFNA(_xlfn.IFS(AB103&gt;Dash!$F$46, "Big", AB103&lt;Dash!$F$49, "Small", AB103&gt;Dash!$F$47, "Good"), "Norm")</f>
        <v>Good</v>
      </c>
      <c r="AD103">
        <v>125.5</v>
      </c>
      <c r="AE103" t="str">
        <f>_xlfn.IFNA(_xlfn.IFS(AD103&gt;Dash!$G$46, "Big", AD103&lt;Dash!$G$49, "Small", AD103&gt;Dash!$G$47, "Good"), "Norm")</f>
        <v>Norm</v>
      </c>
      <c r="AF103">
        <v>128.5</v>
      </c>
      <c r="AG103" t="str">
        <f>_xlfn.IFNA(_xlfn.IFS(AF103&gt;Dash!$H$46, "Big", AF103&lt;Dash!$H$49, "Small", AF103&gt;Dash!$H$47, "Good"), "Norm")</f>
        <v>Norm</v>
      </c>
      <c r="AH103">
        <v>35.25</v>
      </c>
      <c r="AI103" t="str">
        <f>_xlfn.IFNA(_xlfn.IFS(AH103&gt;Dash!$I$46, "Big", AH103&lt;Dash!$I$49, "Small", AH103&gt;Dash!$I$47, "Good"), "Norm")</f>
        <v>Norm</v>
      </c>
    </row>
    <row r="104" spans="1:35" x14ac:dyDescent="0.25">
      <c r="A104" s="1">
        <v>45320</v>
      </c>
      <c r="B104" t="s">
        <v>23</v>
      </c>
      <c r="C104" t="s">
        <v>13</v>
      </c>
      <c r="D104" t="s">
        <v>38</v>
      </c>
      <c r="E104">
        <v>196.5</v>
      </c>
      <c r="F104">
        <v>1800</v>
      </c>
      <c r="G104">
        <v>1900</v>
      </c>
      <c r="H104">
        <v>1400</v>
      </c>
      <c r="J104" t="s">
        <v>29</v>
      </c>
      <c r="K104" t="s">
        <v>31</v>
      </c>
      <c r="L104" t="s">
        <v>32</v>
      </c>
      <c r="M104" t="s">
        <v>19</v>
      </c>
      <c r="N104">
        <v>13</v>
      </c>
      <c r="R104" t="s">
        <v>13</v>
      </c>
      <c r="S104" t="s">
        <v>47</v>
      </c>
      <c r="T104">
        <v>136.5</v>
      </c>
      <c r="U104" t="str">
        <f>_xlfn.IFNA(_xlfn.IFS(E104&gt;Dash!$D$46, "Big", E104&lt;Dash!$D$49, "Small", E104&gt;Dash!$D$47, "Good"), "Norm")</f>
        <v>Norm</v>
      </c>
      <c r="V104" t="s">
        <v>20</v>
      </c>
      <c r="W104">
        <v>128.5</v>
      </c>
      <c r="X104" t="s">
        <v>14</v>
      </c>
      <c r="Y104" s="1">
        <v>45320</v>
      </c>
      <c r="Z104">
        <v>95.75</v>
      </c>
      <c r="AA104" t="str">
        <f>_xlfn.IFNA(_xlfn.IFS(Z104&gt;Dash!$E$46, "Big", Z104&lt;Dash!$E$49, "Small", Z104&gt;Dash!$E$47, "Good"), "Norm")</f>
        <v>Good</v>
      </c>
      <c r="AB104">
        <v>51.25</v>
      </c>
      <c r="AC104" t="str">
        <f>_xlfn.IFNA(_xlfn.IFS(AB104&gt;Dash!$F$46, "Big", AB104&lt;Dash!$F$49, "Small", AB104&gt;Dash!$F$47, "Good"), "Norm")</f>
        <v>Small</v>
      </c>
      <c r="AD104">
        <v>63.75</v>
      </c>
      <c r="AE104" t="str">
        <f>_xlfn.IFNA(_xlfn.IFS(AD104&gt;Dash!$G$46, "Big", AD104&lt;Dash!$G$49, "Small", AD104&gt;Dash!$G$47, "Good"), "Norm")</f>
        <v>Small</v>
      </c>
      <c r="AF104">
        <v>140</v>
      </c>
      <c r="AG104" t="str">
        <f>_xlfn.IFNA(_xlfn.IFS(AF104&gt;Dash!$H$46, "Big", AF104&lt;Dash!$H$49, "Small", AF104&gt;Dash!$H$47, "Good"), "Norm")</f>
        <v>Norm</v>
      </c>
      <c r="AH104">
        <v>23.5</v>
      </c>
      <c r="AI104" t="str">
        <f>_xlfn.IFNA(_xlfn.IFS(AH104&gt;Dash!$I$46, "Big", AH104&lt;Dash!$I$49, "Small", AH104&gt;Dash!$I$47, "Good"), "Norm")</f>
        <v>Norm</v>
      </c>
    </row>
    <row r="105" spans="1:35" x14ac:dyDescent="0.25">
      <c r="A105" s="1">
        <v>45321</v>
      </c>
      <c r="B105" t="s">
        <v>19</v>
      </c>
      <c r="C105" t="s">
        <v>13</v>
      </c>
      <c r="D105" t="s">
        <v>47</v>
      </c>
      <c r="E105">
        <v>136.5</v>
      </c>
      <c r="F105">
        <v>1800</v>
      </c>
      <c r="G105">
        <v>2000</v>
      </c>
      <c r="J105" t="s">
        <v>29</v>
      </c>
      <c r="K105" t="s">
        <v>16</v>
      </c>
      <c r="L105" t="s">
        <v>42</v>
      </c>
      <c r="M105" t="s">
        <v>19</v>
      </c>
      <c r="N105">
        <v>13</v>
      </c>
      <c r="O105" t="s">
        <v>64</v>
      </c>
      <c r="R105">
        <v>0</v>
      </c>
      <c r="S105" t="s">
        <v>47</v>
      </c>
      <c r="T105">
        <v>253.5</v>
      </c>
      <c r="U105" t="str">
        <f>_xlfn.IFNA(_xlfn.IFS(E105&gt;Dash!$D$46, "Big", E105&lt;Dash!$D$49, "Small", E105&gt;Dash!$D$47, "Good"), "Norm")</f>
        <v>Small</v>
      </c>
      <c r="V105" t="s">
        <v>13</v>
      </c>
      <c r="W105">
        <v>196.5</v>
      </c>
      <c r="X105" t="s">
        <v>38</v>
      </c>
      <c r="Y105" s="1">
        <v>45321</v>
      </c>
      <c r="Z105">
        <v>36.25</v>
      </c>
      <c r="AA105" t="str">
        <f>_xlfn.IFNA(_xlfn.IFS(Z105&gt;Dash!$E$46, "Big", Z105&lt;Dash!$E$49, "Small", Z105&gt;Dash!$E$47, "Good"), "Norm")</f>
        <v>Small</v>
      </c>
      <c r="AB105">
        <v>55.75</v>
      </c>
      <c r="AC105" t="str">
        <f>_xlfn.IFNA(_xlfn.IFS(AB105&gt;Dash!$F$46, "Big", AB105&lt;Dash!$F$49, "Small", AB105&gt;Dash!$F$47, "Good"), "Norm")</f>
        <v>Small</v>
      </c>
      <c r="AD105">
        <v>68.25</v>
      </c>
      <c r="AE105" t="str">
        <f>_xlfn.IFNA(_xlfn.IFS(AD105&gt;Dash!$G$46, "Big", AD105&lt;Dash!$G$49, "Small", AD105&gt;Dash!$G$47, "Good"), "Norm")</f>
        <v>Small</v>
      </c>
      <c r="AF105">
        <v>99.25</v>
      </c>
      <c r="AG105" t="str">
        <f>_xlfn.IFNA(_xlfn.IFS(AF105&gt;Dash!$H$46, "Big", AF105&lt;Dash!$H$49, "Small", AF105&gt;Dash!$H$47, "Good"), "Norm")</f>
        <v>Norm</v>
      </c>
      <c r="AH105">
        <v>141</v>
      </c>
      <c r="AI105" t="str">
        <f>_xlfn.IFNA(_xlfn.IFS(AH105&gt;Dash!$I$46, "Big", AH105&lt;Dash!$I$49, "Small", AH105&gt;Dash!$I$47, "Good"), "Norm")</f>
        <v>Big</v>
      </c>
    </row>
    <row r="106" spans="1:35" x14ac:dyDescent="0.25">
      <c r="A106" s="1">
        <v>45322</v>
      </c>
      <c r="B106" t="s">
        <v>18</v>
      </c>
      <c r="D106" t="s">
        <v>47</v>
      </c>
      <c r="E106">
        <v>253.5</v>
      </c>
      <c r="F106">
        <v>300</v>
      </c>
      <c r="G106">
        <v>400</v>
      </c>
      <c r="J106" t="s">
        <v>37</v>
      </c>
      <c r="K106" t="s">
        <v>44</v>
      </c>
      <c r="L106" t="s">
        <v>42</v>
      </c>
      <c r="M106" t="s">
        <v>19</v>
      </c>
      <c r="N106">
        <v>13</v>
      </c>
      <c r="R106" t="s">
        <v>20</v>
      </c>
      <c r="S106" t="s">
        <v>28</v>
      </c>
      <c r="T106">
        <v>189.25</v>
      </c>
      <c r="U106" t="str">
        <f>_xlfn.IFNA(_xlfn.IFS(E106&gt;Dash!$D$46, "Big", E106&lt;Dash!$D$49, "Small", E106&gt;Dash!$D$47, "Good"), "Norm")</f>
        <v>Good</v>
      </c>
      <c r="V106" t="s">
        <v>13</v>
      </c>
      <c r="W106">
        <v>136.5</v>
      </c>
      <c r="X106" t="s">
        <v>47</v>
      </c>
      <c r="Y106" s="1">
        <v>45322</v>
      </c>
      <c r="Z106">
        <v>53</v>
      </c>
      <c r="AA106" t="str">
        <f>_xlfn.IFNA(_xlfn.IFS(Z106&gt;Dash!$E$46, "Big", Z106&lt;Dash!$E$49, "Small", Z106&gt;Dash!$E$47, "Good"), "Norm")</f>
        <v>Norm</v>
      </c>
      <c r="AB106">
        <v>135</v>
      </c>
      <c r="AC106" t="str">
        <f>_xlfn.IFNA(_xlfn.IFS(AB106&gt;Dash!$F$46, "Big", AB106&lt;Dash!$F$49, "Small", AB106&gt;Dash!$F$47, "Good"), "Norm")</f>
        <v>Good</v>
      </c>
      <c r="AD106">
        <v>170.75</v>
      </c>
      <c r="AE106" t="str">
        <f>_xlfn.IFNA(_xlfn.IFS(AD106&gt;Dash!$G$46, "Big", AD106&lt;Dash!$G$49, "Small", AD106&gt;Dash!$G$47, "Good"), "Norm")</f>
        <v>Norm</v>
      </c>
      <c r="AF106">
        <v>253.5</v>
      </c>
      <c r="AG106" t="str">
        <f>_xlfn.IFNA(_xlfn.IFS(AF106&gt;Dash!$H$46, "Big", AF106&lt;Dash!$H$49, "Small", AF106&gt;Dash!$H$47, "Good"), "Norm")</f>
        <v>Big</v>
      </c>
      <c r="AH106">
        <v>49.25</v>
      </c>
      <c r="AI106" t="str">
        <f>_xlfn.IFNA(_xlfn.IFS(AH106&gt;Dash!$I$46, "Big", AH106&lt;Dash!$I$49, "Small", AH106&gt;Dash!$I$47, "Good"), "Norm")</f>
        <v>Good</v>
      </c>
    </row>
    <row r="107" spans="1:35" x14ac:dyDescent="0.25">
      <c r="A107" s="1">
        <v>45323</v>
      </c>
      <c r="B107" t="s">
        <v>36</v>
      </c>
      <c r="C107" t="s">
        <v>20</v>
      </c>
      <c r="D107" t="s">
        <v>28</v>
      </c>
      <c r="E107">
        <v>189.25</v>
      </c>
      <c r="F107">
        <v>1600</v>
      </c>
      <c r="J107" t="s">
        <v>54</v>
      </c>
      <c r="K107" t="s">
        <v>39</v>
      </c>
      <c r="L107" t="s">
        <v>44</v>
      </c>
      <c r="M107" t="s">
        <v>19</v>
      </c>
      <c r="N107">
        <v>13</v>
      </c>
      <c r="O107" t="s">
        <v>65</v>
      </c>
      <c r="R107" t="s">
        <v>33</v>
      </c>
      <c r="S107" t="s">
        <v>28</v>
      </c>
      <c r="T107">
        <v>310</v>
      </c>
      <c r="U107" t="str">
        <f>_xlfn.IFNA(_xlfn.IFS(E107&gt;Dash!$D$46, "Big", E107&lt;Dash!$D$49, "Small", E107&gt;Dash!$D$47, "Good"), "Norm")</f>
        <v>Norm</v>
      </c>
      <c r="V107">
        <v>0</v>
      </c>
      <c r="W107">
        <v>253.5</v>
      </c>
      <c r="X107" t="s">
        <v>47</v>
      </c>
      <c r="Y107" s="1">
        <v>45323</v>
      </c>
      <c r="Z107">
        <v>59.5</v>
      </c>
      <c r="AA107" t="str">
        <f>_xlfn.IFNA(_xlfn.IFS(Z107&gt;Dash!$E$46, "Big", Z107&lt;Dash!$E$49, "Small", Z107&gt;Dash!$E$47, "Good"), "Norm")</f>
        <v>Norm</v>
      </c>
      <c r="AB107">
        <v>101</v>
      </c>
      <c r="AC107" t="str">
        <f>_xlfn.IFNA(_xlfn.IFS(AB107&gt;Dash!$F$46, "Big", AB107&lt;Dash!$F$49, "Small", AB107&gt;Dash!$F$47, "Good"), "Norm")</f>
        <v>Good</v>
      </c>
      <c r="AD107">
        <v>107.75</v>
      </c>
      <c r="AE107" t="str">
        <f>_xlfn.IFNA(_xlfn.IFS(AD107&gt;Dash!$G$46, "Big", AD107&lt;Dash!$G$49, "Small", AD107&gt;Dash!$G$47, "Good"), "Norm")</f>
        <v>Small</v>
      </c>
      <c r="AF107">
        <v>130.75</v>
      </c>
      <c r="AG107" t="str">
        <f>_xlfn.IFNA(_xlfn.IFS(AF107&gt;Dash!$H$46, "Big", AF107&lt;Dash!$H$49, "Small", AF107&gt;Dash!$H$47, "Good"), "Norm")</f>
        <v>Norm</v>
      </c>
      <c r="AH107">
        <v>230.25</v>
      </c>
      <c r="AI107" t="str">
        <f>_xlfn.IFNA(_xlfn.IFS(AH107&gt;Dash!$I$46, "Big", AH107&lt;Dash!$I$49, "Small", AH107&gt;Dash!$I$47, "Good"), "Norm")</f>
        <v>Big</v>
      </c>
    </row>
    <row r="108" spans="1:35" x14ac:dyDescent="0.25">
      <c r="A108" s="1">
        <v>45324</v>
      </c>
      <c r="B108" t="s">
        <v>26</v>
      </c>
      <c r="C108" t="s">
        <v>33</v>
      </c>
      <c r="D108" t="s">
        <v>28</v>
      </c>
      <c r="E108">
        <v>310</v>
      </c>
      <c r="F108">
        <v>1000</v>
      </c>
      <c r="J108" t="s">
        <v>27</v>
      </c>
      <c r="K108" t="s">
        <v>25</v>
      </c>
      <c r="L108" t="s">
        <v>32</v>
      </c>
      <c r="M108" t="s">
        <v>19</v>
      </c>
      <c r="N108">
        <v>13</v>
      </c>
      <c r="R108" t="s">
        <v>33</v>
      </c>
      <c r="S108">
        <v>1</v>
      </c>
      <c r="T108">
        <v>191.25</v>
      </c>
      <c r="U108" t="str">
        <f>_xlfn.IFNA(_xlfn.IFS(E108&gt;Dash!$D$46, "Big", E108&lt;Dash!$D$49, "Small", E108&gt;Dash!$D$47, "Good"), "Norm")</f>
        <v>Good</v>
      </c>
      <c r="V108" t="s">
        <v>20</v>
      </c>
      <c r="W108">
        <v>189.25</v>
      </c>
      <c r="X108" t="s">
        <v>28</v>
      </c>
      <c r="Y108" s="1">
        <v>45324</v>
      </c>
      <c r="Z108">
        <v>53.25</v>
      </c>
      <c r="AA108" t="str">
        <f>_xlfn.IFNA(_xlfn.IFS(Z108&gt;Dash!$E$46, "Big", Z108&lt;Dash!$E$49, "Small", Z108&gt;Dash!$E$47, "Good"), "Norm")</f>
        <v>Norm</v>
      </c>
      <c r="AB108">
        <v>64.25</v>
      </c>
      <c r="AC108" t="str">
        <f>_xlfn.IFNA(_xlfn.IFS(AB108&gt;Dash!$F$46, "Big", AB108&lt;Dash!$F$49, "Small", AB108&gt;Dash!$F$47, "Good"), "Norm")</f>
        <v>Norm</v>
      </c>
      <c r="AD108">
        <v>252.25</v>
      </c>
      <c r="AE108" t="str">
        <f>_xlfn.IFNA(_xlfn.IFS(AD108&gt;Dash!$G$46, "Big", AD108&lt;Dash!$G$49, "Small", AD108&gt;Dash!$G$47, "Good"), "Norm")</f>
        <v>Good</v>
      </c>
      <c r="AF108">
        <v>111</v>
      </c>
      <c r="AG108" t="str">
        <f>_xlfn.IFNA(_xlfn.IFS(AF108&gt;Dash!$H$46, "Big", AF108&lt;Dash!$H$49, "Small", AF108&gt;Dash!$H$47, "Good"), "Norm")</f>
        <v>Norm</v>
      </c>
      <c r="AH108">
        <v>45.75</v>
      </c>
      <c r="AI108" t="str">
        <f>_xlfn.IFNA(_xlfn.IFS(AH108&gt;Dash!$I$46, "Big", AH108&lt;Dash!$I$49, "Small", AH108&gt;Dash!$I$47, "Good"), "Norm")</f>
        <v>Good</v>
      </c>
    </row>
    <row r="109" spans="1:35" x14ac:dyDescent="0.25">
      <c r="A109" s="1">
        <v>45327</v>
      </c>
      <c r="B109" t="s">
        <v>23</v>
      </c>
      <c r="C109" t="s">
        <v>33</v>
      </c>
      <c r="D109">
        <v>1</v>
      </c>
      <c r="E109">
        <v>191.25</v>
      </c>
      <c r="J109" t="s">
        <v>34</v>
      </c>
      <c r="K109" t="s">
        <v>25</v>
      </c>
      <c r="L109" t="s">
        <v>32</v>
      </c>
      <c r="M109" t="s">
        <v>23</v>
      </c>
      <c r="N109">
        <v>2</v>
      </c>
      <c r="R109" t="s">
        <v>20</v>
      </c>
      <c r="S109" t="s">
        <v>43</v>
      </c>
      <c r="T109">
        <v>207</v>
      </c>
      <c r="U109" t="str">
        <f>_xlfn.IFNA(_xlfn.IFS(E109&gt;Dash!$D$46, "Big", E109&lt;Dash!$D$49, "Small", E109&gt;Dash!$D$47, "Good"), "Norm")</f>
        <v>Norm</v>
      </c>
      <c r="V109" t="s">
        <v>33</v>
      </c>
      <c r="W109">
        <v>310</v>
      </c>
      <c r="X109" t="s">
        <v>28</v>
      </c>
      <c r="Y109" s="1">
        <v>45327</v>
      </c>
      <c r="Z109">
        <v>64.25</v>
      </c>
      <c r="AA109" t="str">
        <f>_xlfn.IFNA(_xlfn.IFS(Z109&gt;Dash!$E$46, "Big", Z109&lt;Dash!$E$49, "Small", Z109&gt;Dash!$E$47, "Good"), "Norm")</f>
        <v>Norm</v>
      </c>
      <c r="AB109">
        <v>62</v>
      </c>
      <c r="AC109" t="str">
        <f>_xlfn.IFNA(_xlfn.IFS(AB109&gt;Dash!$F$46, "Big", AB109&lt;Dash!$F$49, "Small", AB109&gt;Dash!$F$47, "Good"), "Norm")</f>
        <v>Norm</v>
      </c>
      <c r="AD109">
        <v>185</v>
      </c>
      <c r="AE109" t="str">
        <f>_xlfn.IFNA(_xlfn.IFS(AD109&gt;Dash!$G$46, "Big", AD109&lt;Dash!$G$49, "Small", AD109&gt;Dash!$G$47, "Good"), "Norm")</f>
        <v>Norm</v>
      </c>
      <c r="AF109">
        <v>91.25</v>
      </c>
      <c r="AG109" t="str">
        <f>_xlfn.IFNA(_xlfn.IFS(AF109&gt;Dash!$H$46, "Big", AF109&lt;Dash!$H$49, "Small", AF109&gt;Dash!$H$47, "Good"), "Norm")</f>
        <v>Small</v>
      </c>
      <c r="AH109">
        <v>29</v>
      </c>
      <c r="AI109" t="str">
        <f>_xlfn.IFNA(_xlfn.IFS(AH109&gt;Dash!$I$46, "Big", AH109&lt;Dash!$I$49, "Small", AH109&gt;Dash!$I$47, "Good"), "Norm")</f>
        <v>Norm</v>
      </c>
    </row>
    <row r="110" spans="1:35" x14ac:dyDescent="0.25">
      <c r="A110" s="1">
        <v>45328</v>
      </c>
      <c r="B110" t="s">
        <v>19</v>
      </c>
      <c r="C110" t="s">
        <v>20</v>
      </c>
      <c r="D110" t="s">
        <v>43</v>
      </c>
      <c r="E110">
        <v>207</v>
      </c>
      <c r="F110" t="s">
        <v>163</v>
      </c>
      <c r="G110">
        <v>100</v>
      </c>
      <c r="J110" t="s">
        <v>29</v>
      </c>
      <c r="K110" t="s">
        <v>22</v>
      </c>
      <c r="L110" t="s">
        <v>17</v>
      </c>
      <c r="M110" t="s">
        <v>23</v>
      </c>
      <c r="N110">
        <v>2</v>
      </c>
      <c r="R110" t="s">
        <v>24</v>
      </c>
      <c r="S110" t="s">
        <v>28</v>
      </c>
      <c r="T110">
        <v>170</v>
      </c>
      <c r="U110" t="str">
        <f>_xlfn.IFNA(_xlfn.IFS(E110&gt;Dash!$D$46, "Big", E110&lt;Dash!$D$49, "Small", E110&gt;Dash!$D$47, "Good"), "Norm")</f>
        <v>Norm</v>
      </c>
      <c r="V110" t="s">
        <v>33</v>
      </c>
      <c r="W110">
        <v>191.25</v>
      </c>
      <c r="X110">
        <v>1</v>
      </c>
      <c r="Y110" s="1">
        <v>45328</v>
      </c>
      <c r="Z110">
        <v>59</v>
      </c>
      <c r="AA110" t="str">
        <f>_xlfn.IFNA(_xlfn.IFS(Z110&gt;Dash!$E$46, "Big", Z110&lt;Dash!$E$49, "Small", Z110&gt;Dash!$E$47, "Good"), "Norm")</f>
        <v>Norm</v>
      </c>
      <c r="AB110">
        <v>98.5</v>
      </c>
      <c r="AC110" t="str">
        <f>_xlfn.IFNA(_xlfn.IFS(AB110&gt;Dash!$F$46, "Big", AB110&lt;Dash!$F$49, "Small", AB110&gt;Dash!$F$47, "Good"), "Norm")</f>
        <v>Good</v>
      </c>
      <c r="AD110">
        <v>189.75</v>
      </c>
      <c r="AE110" t="str">
        <f>_xlfn.IFNA(_xlfn.IFS(AD110&gt;Dash!$G$46, "Big", AD110&lt;Dash!$G$49, "Small", AD110&gt;Dash!$G$47, "Good"), "Norm")</f>
        <v>Norm</v>
      </c>
      <c r="AF110">
        <v>103</v>
      </c>
      <c r="AG110" t="str">
        <f>_xlfn.IFNA(_xlfn.IFS(AF110&gt;Dash!$H$46, "Big", AF110&lt;Dash!$H$49, "Small", AF110&gt;Dash!$H$47, "Good"), "Norm")</f>
        <v>Norm</v>
      </c>
      <c r="AH110">
        <v>27</v>
      </c>
      <c r="AI110" t="str">
        <f>_xlfn.IFNA(_xlfn.IFS(AH110&gt;Dash!$I$46, "Big", AH110&lt;Dash!$I$49, "Small", AH110&gt;Dash!$I$47, "Good"), "Norm")</f>
        <v>Norm</v>
      </c>
    </row>
    <row r="111" spans="1:35" x14ac:dyDescent="0.25">
      <c r="A111" s="1">
        <v>45329</v>
      </c>
      <c r="B111" t="s">
        <v>18</v>
      </c>
      <c r="C111" t="s">
        <v>24</v>
      </c>
      <c r="D111" t="s">
        <v>28</v>
      </c>
      <c r="E111">
        <v>170</v>
      </c>
      <c r="F111">
        <v>900</v>
      </c>
      <c r="J111" t="s">
        <v>27</v>
      </c>
      <c r="K111" t="s">
        <v>31</v>
      </c>
      <c r="L111" t="s">
        <v>35</v>
      </c>
      <c r="M111" t="s">
        <v>23</v>
      </c>
      <c r="N111">
        <v>2</v>
      </c>
      <c r="R111" t="s">
        <v>33</v>
      </c>
      <c r="S111" t="s">
        <v>28</v>
      </c>
      <c r="T111">
        <v>104.25</v>
      </c>
      <c r="U111" t="str">
        <f>_xlfn.IFNA(_xlfn.IFS(E111&gt;Dash!$D$46, "Big", E111&lt;Dash!$D$49, "Small", E111&gt;Dash!$D$47, "Good"), "Norm")</f>
        <v>Norm</v>
      </c>
      <c r="V111" t="s">
        <v>20</v>
      </c>
      <c r="W111">
        <v>207</v>
      </c>
      <c r="X111" t="s">
        <v>43</v>
      </c>
      <c r="Y111" s="1">
        <v>45329</v>
      </c>
      <c r="Z111">
        <v>82.25</v>
      </c>
      <c r="AA111" t="str">
        <f>_xlfn.IFNA(_xlfn.IFS(Z111&gt;Dash!$E$46, "Big", Z111&lt;Dash!$E$49, "Small", Z111&gt;Dash!$E$47, "Good"), "Norm")</f>
        <v>Good</v>
      </c>
      <c r="AB111">
        <v>79.5</v>
      </c>
      <c r="AC111" t="str">
        <f>_xlfn.IFNA(_xlfn.IFS(AB111&gt;Dash!$F$46, "Big", AB111&lt;Dash!$F$49, "Small", AB111&gt;Dash!$F$47, "Good"), "Norm")</f>
        <v>Norm</v>
      </c>
      <c r="AD111">
        <v>170</v>
      </c>
      <c r="AE111" t="str">
        <f>_xlfn.IFNA(_xlfn.IFS(AD111&gt;Dash!$G$46, "Big", AD111&lt;Dash!$G$49, "Small", AD111&gt;Dash!$G$47, "Good"), "Norm")</f>
        <v>Norm</v>
      </c>
      <c r="AF111">
        <v>87</v>
      </c>
      <c r="AG111" t="str">
        <f>_xlfn.IFNA(_xlfn.IFS(AF111&gt;Dash!$H$46, "Big", AF111&lt;Dash!$H$49, "Small", AF111&gt;Dash!$H$47, "Good"), "Norm")</f>
        <v>Small</v>
      </c>
      <c r="AH111">
        <v>26</v>
      </c>
      <c r="AI111" t="str">
        <f>_xlfn.IFNA(_xlfn.IFS(AH111&gt;Dash!$I$46, "Big", AH111&lt;Dash!$I$49, "Small", AH111&gt;Dash!$I$47, "Good"), "Norm")</f>
        <v>Norm</v>
      </c>
    </row>
    <row r="112" spans="1:35" x14ac:dyDescent="0.25">
      <c r="A112" s="1">
        <v>45330</v>
      </c>
      <c r="B112" t="s">
        <v>36</v>
      </c>
      <c r="C112" t="s">
        <v>33</v>
      </c>
      <c r="D112" t="s">
        <v>28</v>
      </c>
      <c r="E112">
        <v>104.25</v>
      </c>
      <c r="F112">
        <v>1000</v>
      </c>
      <c r="J112" t="s">
        <v>27</v>
      </c>
      <c r="K112" t="s">
        <v>25</v>
      </c>
      <c r="L112" t="s">
        <v>32</v>
      </c>
      <c r="M112" t="s">
        <v>23</v>
      </c>
      <c r="N112">
        <v>2</v>
      </c>
      <c r="R112" t="s">
        <v>13</v>
      </c>
      <c r="S112" t="s">
        <v>28</v>
      </c>
      <c r="T112">
        <v>196</v>
      </c>
      <c r="U112" t="str">
        <f>_xlfn.IFNA(_xlfn.IFS(E112&gt;Dash!$D$46, "Big", E112&lt;Dash!$D$49, "Small", E112&gt;Dash!$D$47, "Good"), "Norm")</f>
        <v>Small</v>
      </c>
      <c r="V112" t="s">
        <v>24</v>
      </c>
      <c r="W112">
        <v>170</v>
      </c>
      <c r="X112" t="s">
        <v>28</v>
      </c>
      <c r="Y112" s="1">
        <v>45330</v>
      </c>
      <c r="Z112">
        <v>22.5</v>
      </c>
      <c r="AA112" t="str">
        <f>_xlfn.IFNA(_xlfn.IFS(Z112&gt;Dash!$E$46, "Big", Z112&lt;Dash!$E$49, "Small", Z112&gt;Dash!$E$47, "Good"), "Norm")</f>
        <v>Small</v>
      </c>
      <c r="AB112">
        <v>61</v>
      </c>
      <c r="AC112" t="str">
        <f>_xlfn.IFNA(_xlfn.IFS(AB112&gt;Dash!$F$46, "Big", AB112&lt;Dash!$F$49, "Small", AB112&gt;Dash!$F$47, "Good"), "Norm")</f>
        <v>Norm</v>
      </c>
      <c r="AD112">
        <v>102</v>
      </c>
      <c r="AE112" t="str">
        <f>_xlfn.IFNA(_xlfn.IFS(AD112&gt;Dash!$G$46, "Big", AD112&lt;Dash!$G$49, "Small", AD112&gt;Dash!$G$47, "Good"), "Norm")</f>
        <v>Small</v>
      </c>
      <c r="AF112">
        <v>69.25</v>
      </c>
      <c r="AG112" t="str">
        <f>_xlfn.IFNA(_xlfn.IFS(AF112&gt;Dash!$H$46, "Big", AF112&lt;Dash!$H$49, "Small", AF112&gt;Dash!$H$47, "Good"), "Norm")</f>
        <v>Small</v>
      </c>
      <c r="AH112">
        <v>13.75</v>
      </c>
      <c r="AI112" t="str">
        <f>_xlfn.IFNA(_xlfn.IFS(AH112&gt;Dash!$I$46, "Big", AH112&lt;Dash!$I$49, "Small", AH112&gt;Dash!$I$47, "Good"), "Norm")</f>
        <v>Small</v>
      </c>
    </row>
    <row r="113" spans="1:35" x14ac:dyDescent="0.25">
      <c r="A113" s="1">
        <v>45331</v>
      </c>
      <c r="B113" t="s">
        <v>26</v>
      </c>
      <c r="C113" t="s">
        <v>13</v>
      </c>
      <c r="D113" t="s">
        <v>28</v>
      </c>
      <c r="E113">
        <v>196</v>
      </c>
      <c r="F113">
        <v>300</v>
      </c>
      <c r="J113" t="s">
        <v>30</v>
      </c>
      <c r="K113" t="s">
        <v>31</v>
      </c>
      <c r="L113" t="s">
        <v>32</v>
      </c>
      <c r="M113" t="s">
        <v>23</v>
      </c>
      <c r="N113">
        <v>2</v>
      </c>
      <c r="R113" t="s">
        <v>33</v>
      </c>
      <c r="S113" t="s">
        <v>43</v>
      </c>
      <c r="T113">
        <v>185.25</v>
      </c>
      <c r="U113" t="str">
        <f>_xlfn.IFNA(_xlfn.IFS(E113&gt;Dash!$D$46, "Big", E113&lt;Dash!$D$49, "Small", E113&gt;Dash!$D$47, "Good"), "Norm")</f>
        <v>Norm</v>
      </c>
      <c r="V113" t="s">
        <v>33</v>
      </c>
      <c r="W113">
        <v>104.25</v>
      </c>
      <c r="X113" t="s">
        <v>28</v>
      </c>
      <c r="Y113" s="1">
        <v>45331</v>
      </c>
      <c r="Z113">
        <v>25.75</v>
      </c>
      <c r="AA113" t="str">
        <f>_xlfn.IFNA(_xlfn.IFS(Z113&gt;Dash!$E$46, "Big", Z113&lt;Dash!$E$49, "Small", Z113&gt;Dash!$E$47, "Good"), "Norm")</f>
        <v>Small</v>
      </c>
      <c r="AB113">
        <v>77.75</v>
      </c>
      <c r="AC113" t="str">
        <f>_xlfn.IFNA(_xlfn.IFS(AB113&gt;Dash!$F$46, "Big", AB113&lt;Dash!$F$49, "Small", AB113&gt;Dash!$F$47, "Good"), "Norm")</f>
        <v>Norm</v>
      </c>
      <c r="AD113">
        <v>132.5</v>
      </c>
      <c r="AE113" t="str">
        <f>_xlfn.IFNA(_xlfn.IFS(AD113&gt;Dash!$G$46, "Big", AD113&lt;Dash!$G$49, "Small", AD113&gt;Dash!$G$47, "Good"), "Norm")</f>
        <v>Norm</v>
      </c>
      <c r="AF113">
        <v>93.25</v>
      </c>
      <c r="AG113" t="str">
        <f>_xlfn.IFNA(_xlfn.IFS(AF113&gt;Dash!$H$46, "Big", AF113&lt;Dash!$H$49, "Small", AF113&gt;Dash!$H$47, "Good"), "Norm")</f>
        <v>Norm</v>
      </c>
      <c r="AH113">
        <v>14</v>
      </c>
      <c r="AI113" t="str">
        <f>_xlfn.IFNA(_xlfn.IFS(AH113&gt;Dash!$I$46, "Big", AH113&lt;Dash!$I$49, "Small", AH113&gt;Dash!$I$47, "Good"), "Norm")</f>
        <v>Small</v>
      </c>
    </row>
    <row r="114" spans="1:35" x14ac:dyDescent="0.25">
      <c r="A114" s="1">
        <v>45334</v>
      </c>
      <c r="B114" t="s">
        <v>23</v>
      </c>
      <c r="C114" t="s">
        <v>33</v>
      </c>
      <c r="D114" t="s">
        <v>43</v>
      </c>
      <c r="E114">
        <v>185.25</v>
      </c>
      <c r="F114">
        <v>1000</v>
      </c>
      <c r="G114">
        <v>1300</v>
      </c>
      <c r="J114" t="s">
        <v>27</v>
      </c>
      <c r="K114" t="s">
        <v>35</v>
      </c>
      <c r="L114" t="s">
        <v>42</v>
      </c>
      <c r="M114" t="s">
        <v>19</v>
      </c>
      <c r="N114">
        <v>10</v>
      </c>
      <c r="R114" t="s">
        <v>20</v>
      </c>
      <c r="S114" t="s">
        <v>14</v>
      </c>
      <c r="T114">
        <v>328</v>
      </c>
      <c r="U114" t="str">
        <f>_xlfn.IFNA(_xlfn.IFS(E114&gt;Dash!$D$46, "Big", E114&lt;Dash!$D$49, "Small", E114&gt;Dash!$D$47, "Good"), "Norm")</f>
        <v>Norm</v>
      </c>
      <c r="V114" t="s">
        <v>13</v>
      </c>
      <c r="W114">
        <v>196</v>
      </c>
      <c r="X114" t="s">
        <v>28</v>
      </c>
      <c r="Y114" s="1">
        <v>45334</v>
      </c>
      <c r="Z114">
        <v>40.75</v>
      </c>
      <c r="AA114" t="str">
        <f>_xlfn.IFNA(_xlfn.IFS(Z114&gt;Dash!$E$46, "Big", Z114&lt;Dash!$E$49, "Small", Z114&gt;Dash!$E$47, "Good"), "Norm")</f>
        <v>Small</v>
      </c>
      <c r="AB114">
        <v>38.75</v>
      </c>
      <c r="AC114" t="str">
        <f>_xlfn.IFNA(_xlfn.IFS(AB114&gt;Dash!$F$46, "Big", AB114&lt;Dash!$F$49, "Small", AB114&gt;Dash!$F$47, "Good"), "Norm")</f>
        <v>Small</v>
      </c>
      <c r="AD114">
        <v>114.25</v>
      </c>
      <c r="AE114" t="str">
        <f>_xlfn.IFNA(_xlfn.IFS(AD114&gt;Dash!$G$46, "Big", AD114&lt;Dash!$G$49, "Small", AD114&gt;Dash!$G$47, "Good"), "Norm")</f>
        <v>Small</v>
      </c>
      <c r="AF114">
        <v>173</v>
      </c>
      <c r="AG114" t="str">
        <f>_xlfn.IFNA(_xlfn.IFS(AF114&gt;Dash!$H$46, "Big", AF114&lt;Dash!$H$49, "Small", AF114&gt;Dash!$H$47, "Good"), "Norm")</f>
        <v>Good</v>
      </c>
      <c r="AH114">
        <v>56.75</v>
      </c>
      <c r="AI114" t="str">
        <f>_xlfn.IFNA(_xlfn.IFS(AH114&gt;Dash!$I$46, "Big", AH114&lt;Dash!$I$49, "Small", AH114&gt;Dash!$I$47, "Good"), "Norm")</f>
        <v>Good</v>
      </c>
    </row>
    <row r="115" spans="1:35" x14ac:dyDescent="0.25">
      <c r="A115" s="1">
        <v>45335</v>
      </c>
      <c r="B115" t="s">
        <v>19</v>
      </c>
      <c r="C115" t="s">
        <v>20</v>
      </c>
      <c r="D115" t="s">
        <v>14</v>
      </c>
      <c r="E115">
        <v>328</v>
      </c>
      <c r="F115">
        <v>300</v>
      </c>
      <c r="J115" t="s">
        <v>15</v>
      </c>
      <c r="K115" t="s">
        <v>22</v>
      </c>
      <c r="L115" t="s">
        <v>17</v>
      </c>
      <c r="M115" t="s">
        <v>19</v>
      </c>
      <c r="N115">
        <v>10</v>
      </c>
      <c r="R115" t="s">
        <v>13</v>
      </c>
      <c r="S115">
        <v>1</v>
      </c>
      <c r="T115">
        <v>196.75</v>
      </c>
      <c r="U115" t="str">
        <f>_xlfn.IFNA(_xlfn.IFS(E115&gt;Dash!$D$46, "Big", E115&lt;Dash!$D$49, "Small", E115&gt;Dash!$D$47, "Good"), "Norm")</f>
        <v>Good</v>
      </c>
      <c r="V115" t="s">
        <v>33</v>
      </c>
      <c r="W115">
        <v>185.25</v>
      </c>
      <c r="X115" t="s">
        <v>43</v>
      </c>
      <c r="Y115" s="1">
        <v>45335</v>
      </c>
      <c r="Z115">
        <v>43.25</v>
      </c>
      <c r="AA115" t="str">
        <f>_xlfn.IFNA(_xlfn.IFS(Z115&gt;Dash!$E$46, "Big", Z115&lt;Dash!$E$49, "Small", Z115&gt;Dash!$E$47, "Good"), "Norm")</f>
        <v>Norm</v>
      </c>
      <c r="AB115">
        <v>156.25</v>
      </c>
      <c r="AC115" t="str">
        <f>_xlfn.IFNA(_xlfn.IFS(AB115&gt;Dash!$F$46, "Big", AB115&lt;Dash!$F$49, "Small", AB115&gt;Dash!$F$47, "Good"), "Norm")</f>
        <v>Big</v>
      </c>
      <c r="AD115">
        <v>283.25</v>
      </c>
      <c r="AE115" t="str">
        <f>_xlfn.IFNA(_xlfn.IFS(AD115&gt;Dash!$G$46, "Big", AD115&lt;Dash!$G$49, "Small", AD115&gt;Dash!$G$47, "Good"), "Norm")</f>
        <v>Good</v>
      </c>
      <c r="AF115">
        <v>186</v>
      </c>
      <c r="AG115" t="str">
        <f>_xlfn.IFNA(_xlfn.IFS(AF115&gt;Dash!$H$46, "Big", AF115&lt;Dash!$H$49, "Small", AF115&gt;Dash!$H$47, "Good"), "Norm")</f>
        <v>Good</v>
      </c>
      <c r="AH115">
        <v>32</v>
      </c>
      <c r="AI115" t="str">
        <f>_xlfn.IFNA(_xlfn.IFS(AH115&gt;Dash!$I$46, "Big", AH115&lt;Dash!$I$49, "Small", AH115&gt;Dash!$I$47, "Good"), "Norm")</f>
        <v>Norm</v>
      </c>
    </row>
    <row r="116" spans="1:35" x14ac:dyDescent="0.25">
      <c r="A116" s="1">
        <v>45336</v>
      </c>
      <c r="B116" t="s">
        <v>18</v>
      </c>
      <c r="C116" t="s">
        <v>13</v>
      </c>
      <c r="D116">
        <v>1</v>
      </c>
      <c r="E116">
        <v>196.75</v>
      </c>
      <c r="J116" t="s">
        <v>34</v>
      </c>
      <c r="K116" t="s">
        <v>31</v>
      </c>
      <c r="L116" t="s">
        <v>32</v>
      </c>
      <c r="M116" t="s">
        <v>19</v>
      </c>
      <c r="N116">
        <v>10</v>
      </c>
      <c r="R116" t="s">
        <v>33</v>
      </c>
      <c r="S116" t="s">
        <v>28</v>
      </c>
      <c r="T116">
        <v>153</v>
      </c>
      <c r="U116" t="str">
        <f>_xlfn.IFNA(_xlfn.IFS(E116&gt;Dash!$D$46, "Big", E116&lt;Dash!$D$49, "Small", E116&gt;Dash!$D$47, "Good"), "Norm")</f>
        <v>Norm</v>
      </c>
      <c r="V116" t="s">
        <v>20</v>
      </c>
      <c r="W116">
        <v>328</v>
      </c>
      <c r="X116" t="s">
        <v>14</v>
      </c>
      <c r="Y116" s="1">
        <v>45336</v>
      </c>
      <c r="Z116">
        <v>36.25</v>
      </c>
      <c r="AA116" t="str">
        <f>_xlfn.IFNA(_xlfn.IFS(Z116&gt;Dash!$E$46, "Big", Z116&lt;Dash!$E$49, "Small", Z116&gt;Dash!$E$47, "Good"), "Norm")</f>
        <v>Small</v>
      </c>
      <c r="AB116">
        <v>119</v>
      </c>
      <c r="AC116" t="str">
        <f>_xlfn.IFNA(_xlfn.IFS(AB116&gt;Dash!$F$46, "Big", AB116&lt;Dash!$F$49, "Small", AB116&gt;Dash!$F$47, "Good"), "Norm")</f>
        <v>Good</v>
      </c>
      <c r="AD116">
        <v>143</v>
      </c>
      <c r="AE116" t="str">
        <f>_xlfn.IFNA(_xlfn.IFS(AD116&gt;Dash!$G$46, "Big", AD116&lt;Dash!$G$49, "Small", AD116&gt;Dash!$G$47, "Good"), "Norm")</f>
        <v>Norm</v>
      </c>
      <c r="AF116">
        <v>196.75</v>
      </c>
      <c r="AG116" t="str">
        <f>_xlfn.IFNA(_xlfn.IFS(AF116&gt;Dash!$H$46, "Big", AF116&lt;Dash!$H$49, "Small", AF116&gt;Dash!$H$47, "Good"), "Norm")</f>
        <v>Good</v>
      </c>
      <c r="AH116">
        <v>22.25</v>
      </c>
      <c r="AI116" t="str">
        <f>_xlfn.IFNA(_xlfn.IFS(AH116&gt;Dash!$I$46, "Big", AH116&lt;Dash!$I$49, "Small", AH116&gt;Dash!$I$47, "Good"), "Norm")</f>
        <v>Norm</v>
      </c>
    </row>
    <row r="117" spans="1:35" x14ac:dyDescent="0.25">
      <c r="A117" s="1">
        <v>45337</v>
      </c>
      <c r="B117" t="s">
        <v>36</v>
      </c>
      <c r="C117" t="s">
        <v>33</v>
      </c>
      <c r="D117" t="s">
        <v>28</v>
      </c>
      <c r="E117">
        <v>153</v>
      </c>
      <c r="F117">
        <v>100</v>
      </c>
      <c r="G117">
        <v>900</v>
      </c>
      <c r="J117" t="s">
        <v>29</v>
      </c>
      <c r="K117" t="s">
        <v>25</v>
      </c>
      <c r="L117" t="s">
        <v>44</v>
      </c>
      <c r="M117" t="s">
        <v>19</v>
      </c>
      <c r="N117">
        <v>10</v>
      </c>
      <c r="R117" t="s">
        <v>41</v>
      </c>
      <c r="S117" t="s">
        <v>48</v>
      </c>
      <c r="T117">
        <v>292.75</v>
      </c>
      <c r="U117" t="str">
        <f>_xlfn.IFNA(_xlfn.IFS(E117&gt;Dash!$D$46, "Big", E117&lt;Dash!$D$49, "Small", E117&gt;Dash!$D$47, "Good"), "Norm")</f>
        <v>Small</v>
      </c>
      <c r="V117" t="s">
        <v>13</v>
      </c>
      <c r="W117">
        <v>196.75</v>
      </c>
      <c r="X117">
        <v>1</v>
      </c>
      <c r="Y117" s="1">
        <v>45337</v>
      </c>
      <c r="Z117">
        <v>56.5</v>
      </c>
      <c r="AA117" t="str">
        <f>_xlfn.IFNA(_xlfn.IFS(Z117&gt;Dash!$E$46, "Big", Z117&lt;Dash!$E$49, "Small", Z117&gt;Dash!$E$47, "Good"), "Norm")</f>
        <v>Norm</v>
      </c>
      <c r="AB117">
        <v>45</v>
      </c>
      <c r="AC117" t="str">
        <f>_xlfn.IFNA(_xlfn.IFS(AB117&gt;Dash!$F$46, "Big", AB117&lt;Dash!$F$49, "Small", AB117&gt;Dash!$F$47, "Good"), "Norm")</f>
        <v>Small</v>
      </c>
      <c r="AD117">
        <v>153</v>
      </c>
      <c r="AE117" t="str">
        <f>_xlfn.IFNA(_xlfn.IFS(AD117&gt;Dash!$G$46, "Big", AD117&lt;Dash!$G$49, "Small", AD117&gt;Dash!$G$47, "Good"), "Norm")</f>
        <v>Norm</v>
      </c>
      <c r="AF117">
        <v>113.5</v>
      </c>
      <c r="AG117" t="str">
        <f>_xlfn.IFNA(_xlfn.IFS(AF117&gt;Dash!$H$46, "Big", AF117&lt;Dash!$H$49, "Small", AF117&gt;Dash!$H$47, "Good"), "Norm")</f>
        <v>Norm</v>
      </c>
      <c r="AH117">
        <v>56.75</v>
      </c>
      <c r="AI117" t="str">
        <f>_xlfn.IFNA(_xlfn.IFS(AH117&gt;Dash!$I$46, "Big", AH117&lt;Dash!$I$49, "Small", AH117&gt;Dash!$I$47, "Good"), "Norm")</f>
        <v>Good</v>
      </c>
    </row>
    <row r="118" spans="1:35" x14ac:dyDescent="0.25">
      <c r="A118" s="1">
        <v>45338</v>
      </c>
      <c r="B118" t="s">
        <v>26</v>
      </c>
      <c r="C118" t="s">
        <v>41</v>
      </c>
      <c r="D118" t="s">
        <v>48</v>
      </c>
      <c r="E118">
        <v>292.75</v>
      </c>
      <c r="F118">
        <v>200</v>
      </c>
      <c r="G118">
        <v>800</v>
      </c>
      <c r="H118">
        <v>900</v>
      </c>
      <c r="I118">
        <v>1000</v>
      </c>
      <c r="J118" t="s">
        <v>30</v>
      </c>
      <c r="K118" t="s">
        <v>22</v>
      </c>
      <c r="L118" t="s">
        <v>25</v>
      </c>
      <c r="M118" t="s">
        <v>19</v>
      </c>
      <c r="N118">
        <v>10</v>
      </c>
      <c r="O118" t="s">
        <v>61</v>
      </c>
      <c r="R118" t="s">
        <v>13</v>
      </c>
      <c r="S118" t="s">
        <v>14</v>
      </c>
      <c r="T118">
        <v>271.5</v>
      </c>
      <c r="U118" t="str">
        <f>_xlfn.IFNA(_xlfn.IFS(E118&gt;Dash!$D$46, "Big", E118&lt;Dash!$D$49, "Small", E118&gt;Dash!$D$47, "Good"), "Norm")</f>
        <v>Good</v>
      </c>
      <c r="V118" t="s">
        <v>33</v>
      </c>
      <c r="W118">
        <v>153</v>
      </c>
      <c r="X118" t="s">
        <v>28</v>
      </c>
      <c r="Y118" s="1">
        <v>45338</v>
      </c>
      <c r="Z118">
        <v>47.75</v>
      </c>
      <c r="AA118" t="str">
        <f>_xlfn.IFNA(_xlfn.IFS(Z118&gt;Dash!$E$46, "Big", Z118&lt;Dash!$E$49, "Small", Z118&gt;Dash!$E$47, "Good"), "Norm")</f>
        <v>Norm</v>
      </c>
      <c r="AB118">
        <v>78.5</v>
      </c>
      <c r="AC118" t="str">
        <f>_xlfn.IFNA(_xlfn.IFS(AB118&gt;Dash!$F$46, "Big", AB118&lt;Dash!$F$49, "Small", AB118&gt;Dash!$F$47, "Good"), "Norm")</f>
        <v>Norm</v>
      </c>
      <c r="AD118">
        <v>292.75</v>
      </c>
      <c r="AE118" t="str">
        <f>_xlfn.IFNA(_xlfn.IFS(AD118&gt;Dash!$G$46, "Big", AD118&lt;Dash!$G$49, "Small", AD118&gt;Dash!$G$47, "Good"), "Norm")</f>
        <v>Good</v>
      </c>
      <c r="AF118">
        <v>181.25</v>
      </c>
      <c r="AG118" t="str">
        <f>_xlfn.IFNA(_xlfn.IFS(AF118&gt;Dash!$H$46, "Big", AF118&lt;Dash!$H$49, "Small", AF118&gt;Dash!$H$47, "Good"), "Norm")</f>
        <v>Good</v>
      </c>
      <c r="AH118">
        <v>36.5</v>
      </c>
      <c r="AI118" t="str">
        <f>_xlfn.IFNA(_xlfn.IFS(AH118&gt;Dash!$I$46, "Big", AH118&lt;Dash!$I$49, "Small", AH118&gt;Dash!$I$47, "Good"), "Norm")</f>
        <v>Norm</v>
      </c>
    </row>
    <row r="119" spans="1:35" x14ac:dyDescent="0.25">
      <c r="A119" s="1">
        <v>45342</v>
      </c>
      <c r="B119" t="s">
        <v>19</v>
      </c>
      <c r="C119" t="s">
        <v>13</v>
      </c>
      <c r="D119" t="s">
        <v>14</v>
      </c>
      <c r="E119">
        <v>271.5</v>
      </c>
      <c r="F119">
        <v>2000</v>
      </c>
      <c r="G119">
        <v>200</v>
      </c>
      <c r="J119" t="s">
        <v>37</v>
      </c>
      <c r="K119" t="s">
        <v>16</v>
      </c>
      <c r="L119" t="s">
        <v>17</v>
      </c>
      <c r="M119" t="s">
        <v>18</v>
      </c>
      <c r="N119">
        <v>4</v>
      </c>
      <c r="R119" t="s">
        <v>33</v>
      </c>
      <c r="S119" t="s">
        <v>46</v>
      </c>
      <c r="T119">
        <v>169.75</v>
      </c>
      <c r="U119" t="str">
        <f>_xlfn.IFNA(_xlfn.IFS(E119&gt;Dash!$D$46, "Big", E119&lt;Dash!$D$49, "Small", E119&gt;Dash!$D$47, "Good"), "Norm")</f>
        <v>Good</v>
      </c>
      <c r="V119" t="s">
        <v>41</v>
      </c>
      <c r="W119">
        <v>292.75</v>
      </c>
      <c r="X119" t="s">
        <v>48</v>
      </c>
      <c r="Y119" s="1">
        <v>45342</v>
      </c>
      <c r="Z119">
        <v>125.75</v>
      </c>
      <c r="AA119" t="str">
        <f>_xlfn.IFNA(_xlfn.IFS(Z119&gt;Dash!$E$46, "Big", Z119&lt;Dash!$E$49, "Small", Z119&gt;Dash!$E$47, "Good"), "Norm")</f>
        <v>Good</v>
      </c>
      <c r="AB119">
        <v>110.75</v>
      </c>
      <c r="AC119" t="str">
        <f>_xlfn.IFNA(_xlfn.IFS(AB119&gt;Dash!$F$46, "Big", AB119&lt;Dash!$F$49, "Small", AB119&gt;Dash!$F$47, "Good"), "Norm")</f>
        <v>Good</v>
      </c>
      <c r="AD119">
        <v>242</v>
      </c>
      <c r="AE119" t="str">
        <f>_xlfn.IFNA(_xlfn.IFS(AD119&gt;Dash!$G$46, "Big", AD119&lt;Dash!$G$49, "Small", AD119&gt;Dash!$G$47, "Good"), "Norm")</f>
        <v>Good</v>
      </c>
      <c r="AF119">
        <v>162</v>
      </c>
      <c r="AG119" t="str">
        <f>_xlfn.IFNA(_xlfn.IFS(AF119&gt;Dash!$H$46, "Big", AF119&lt;Dash!$H$49, "Small", AF119&gt;Dash!$H$47, "Good"), "Norm")</f>
        <v>Good</v>
      </c>
      <c r="AH119">
        <v>39</v>
      </c>
      <c r="AI119" t="str">
        <f>_xlfn.IFNA(_xlfn.IFS(AH119&gt;Dash!$I$46, "Big", AH119&lt;Dash!$I$49, "Small", AH119&gt;Dash!$I$47, "Good"), "Norm")</f>
        <v>Good</v>
      </c>
    </row>
    <row r="120" spans="1:35" x14ac:dyDescent="0.25">
      <c r="A120" s="1">
        <v>45343</v>
      </c>
      <c r="B120" t="s">
        <v>18</v>
      </c>
      <c r="C120" t="s">
        <v>33</v>
      </c>
      <c r="D120" t="s">
        <v>46</v>
      </c>
      <c r="E120">
        <v>169.75</v>
      </c>
      <c r="F120">
        <v>2000</v>
      </c>
      <c r="G120">
        <v>2000</v>
      </c>
      <c r="J120" t="s">
        <v>45</v>
      </c>
      <c r="K120" t="s">
        <v>17</v>
      </c>
      <c r="L120" t="s">
        <v>44</v>
      </c>
      <c r="M120" t="s">
        <v>18</v>
      </c>
      <c r="N120">
        <v>4</v>
      </c>
      <c r="O120" t="s">
        <v>66</v>
      </c>
      <c r="R120" t="s">
        <v>13</v>
      </c>
      <c r="S120" t="s">
        <v>28</v>
      </c>
      <c r="T120">
        <v>223</v>
      </c>
      <c r="U120" t="str">
        <f>_xlfn.IFNA(_xlfn.IFS(E120&gt;Dash!$D$46, "Big", E120&lt;Dash!$D$49, "Small", E120&gt;Dash!$D$47, "Good"), "Norm")</f>
        <v>Norm</v>
      </c>
      <c r="V120" t="s">
        <v>13</v>
      </c>
      <c r="W120">
        <v>271.5</v>
      </c>
      <c r="X120" t="s">
        <v>14</v>
      </c>
      <c r="Y120" s="1">
        <v>45343</v>
      </c>
      <c r="Z120">
        <v>51.5</v>
      </c>
      <c r="AA120" t="str">
        <f>_xlfn.IFNA(_xlfn.IFS(Z120&gt;Dash!$E$46, "Big", Z120&lt;Dash!$E$49, "Small", Z120&gt;Dash!$E$47, "Good"), "Norm")</f>
        <v>Norm</v>
      </c>
      <c r="AB120">
        <v>102</v>
      </c>
      <c r="AC120" t="str">
        <f>_xlfn.IFNA(_xlfn.IFS(AB120&gt;Dash!$F$46, "Big", AB120&lt;Dash!$F$49, "Small", AB120&gt;Dash!$F$47, "Good"), "Norm")</f>
        <v>Good</v>
      </c>
      <c r="AD120">
        <v>77.25</v>
      </c>
      <c r="AE120" t="str">
        <f>_xlfn.IFNA(_xlfn.IFS(AD120&gt;Dash!$G$46, "Big", AD120&lt;Dash!$G$49, "Small", AD120&gt;Dash!$G$47, "Good"), "Norm")</f>
        <v>Small</v>
      </c>
      <c r="AF120">
        <v>169.75</v>
      </c>
      <c r="AG120" t="str">
        <f>_xlfn.IFNA(_xlfn.IFS(AF120&gt;Dash!$H$46, "Big", AF120&lt;Dash!$H$49, "Small", AF120&gt;Dash!$H$47, "Good"), "Norm")</f>
        <v>Good</v>
      </c>
      <c r="AH120">
        <v>310.75</v>
      </c>
      <c r="AI120" t="str">
        <f>_xlfn.IFNA(_xlfn.IFS(AH120&gt;Dash!$I$46, "Big", AH120&lt;Dash!$I$49, "Small", AH120&gt;Dash!$I$47, "Good"), "Norm")</f>
        <v>Big</v>
      </c>
    </row>
    <row r="121" spans="1:35" x14ac:dyDescent="0.25">
      <c r="A121" s="1">
        <v>45344</v>
      </c>
      <c r="B121" t="s">
        <v>36</v>
      </c>
      <c r="C121" t="s">
        <v>13</v>
      </c>
      <c r="D121" t="s">
        <v>28</v>
      </c>
      <c r="E121">
        <v>223</v>
      </c>
      <c r="F121">
        <v>1900</v>
      </c>
      <c r="J121" t="s">
        <v>29</v>
      </c>
      <c r="K121" t="s">
        <v>31</v>
      </c>
      <c r="L121" t="s">
        <v>32</v>
      </c>
      <c r="M121" t="s">
        <v>18</v>
      </c>
      <c r="N121">
        <v>4</v>
      </c>
      <c r="R121" t="s">
        <v>33</v>
      </c>
      <c r="S121" t="s">
        <v>43</v>
      </c>
      <c r="T121">
        <v>198.75</v>
      </c>
      <c r="U121" t="str">
        <f>_xlfn.IFNA(_xlfn.IFS(E121&gt;Dash!$D$46, "Big", E121&lt;Dash!$D$49, "Small", E121&gt;Dash!$D$47, "Good"), "Norm")</f>
        <v>Norm</v>
      </c>
      <c r="V121" t="s">
        <v>33</v>
      </c>
      <c r="W121">
        <v>169.75</v>
      </c>
      <c r="X121" t="s">
        <v>46</v>
      </c>
      <c r="Y121" s="1">
        <v>45344</v>
      </c>
      <c r="Z121">
        <v>154</v>
      </c>
      <c r="AA121" t="str">
        <f>_xlfn.IFNA(_xlfn.IFS(Z121&gt;Dash!$E$46, "Big", Z121&lt;Dash!$E$49, "Small", Z121&gt;Dash!$E$47, "Good"), "Norm")</f>
        <v>Big</v>
      </c>
      <c r="AB121">
        <v>113.5</v>
      </c>
      <c r="AC121" t="str">
        <f>_xlfn.IFNA(_xlfn.IFS(AB121&gt;Dash!$F$46, "Big", AB121&lt;Dash!$F$49, "Small", AB121&gt;Dash!$F$47, "Good"), "Norm")</f>
        <v>Good</v>
      </c>
      <c r="AD121">
        <v>117</v>
      </c>
      <c r="AE121" t="str">
        <f>_xlfn.IFNA(_xlfn.IFS(AD121&gt;Dash!$G$46, "Big", AD121&lt;Dash!$G$49, "Small", AD121&gt;Dash!$G$47, "Good"), "Norm")</f>
        <v>Norm</v>
      </c>
      <c r="AF121">
        <v>151.75</v>
      </c>
      <c r="AG121" t="str">
        <f>_xlfn.IFNA(_xlfn.IFS(AF121&gt;Dash!$H$46, "Big", AF121&lt;Dash!$H$49, "Small", AF121&gt;Dash!$H$47, "Good"), "Norm")</f>
        <v>Good</v>
      </c>
      <c r="AH121">
        <v>37</v>
      </c>
      <c r="AI121" t="str">
        <f>_xlfn.IFNA(_xlfn.IFS(AH121&gt;Dash!$I$46, "Big", AH121&lt;Dash!$I$49, "Small", AH121&gt;Dash!$I$47, "Good"), "Norm")</f>
        <v>Norm</v>
      </c>
    </row>
    <row r="122" spans="1:35" x14ac:dyDescent="0.25">
      <c r="A122" s="1">
        <v>45345</v>
      </c>
      <c r="B122" t="s">
        <v>26</v>
      </c>
      <c r="C122" t="s">
        <v>33</v>
      </c>
      <c r="D122" t="s">
        <v>43</v>
      </c>
      <c r="E122">
        <v>198.75</v>
      </c>
      <c r="F122">
        <v>900</v>
      </c>
      <c r="G122">
        <v>900</v>
      </c>
      <c r="J122" t="s">
        <v>27</v>
      </c>
      <c r="K122" t="s">
        <v>35</v>
      </c>
      <c r="L122" t="s">
        <v>25</v>
      </c>
      <c r="M122" t="s">
        <v>18</v>
      </c>
      <c r="N122">
        <v>4</v>
      </c>
      <c r="R122" t="s">
        <v>24</v>
      </c>
      <c r="S122" t="s">
        <v>14</v>
      </c>
      <c r="T122">
        <v>93.5</v>
      </c>
      <c r="U122" t="str">
        <f>_xlfn.IFNA(_xlfn.IFS(E122&gt;Dash!$D$46, "Big", E122&lt;Dash!$D$49, "Small", E122&gt;Dash!$D$47, "Good"), "Norm")</f>
        <v>Norm</v>
      </c>
      <c r="V122" t="s">
        <v>13</v>
      </c>
      <c r="W122">
        <v>223</v>
      </c>
      <c r="X122" t="s">
        <v>28</v>
      </c>
      <c r="Y122" s="1">
        <v>45345</v>
      </c>
      <c r="Z122">
        <v>39.25</v>
      </c>
      <c r="AA122" t="str">
        <f>_xlfn.IFNA(_xlfn.IFS(Z122&gt;Dash!$E$46, "Big", Z122&lt;Dash!$E$49, "Small", Z122&gt;Dash!$E$47, "Good"), "Norm")</f>
        <v>Small</v>
      </c>
      <c r="AB122">
        <v>50.75</v>
      </c>
      <c r="AC122" t="str">
        <f>_xlfn.IFNA(_xlfn.IFS(AB122&gt;Dash!$F$46, "Big", AB122&lt;Dash!$F$49, "Small", AB122&gt;Dash!$F$47, "Good"), "Norm")</f>
        <v>Small</v>
      </c>
      <c r="AD122">
        <v>198.75</v>
      </c>
      <c r="AE122" t="str">
        <f>_xlfn.IFNA(_xlfn.IFS(AD122&gt;Dash!$G$46, "Big", AD122&lt;Dash!$G$49, "Small", AD122&gt;Dash!$G$47, "Good"), "Norm")</f>
        <v>Norm</v>
      </c>
      <c r="AF122">
        <v>100.5</v>
      </c>
      <c r="AG122" t="str">
        <f>_xlfn.IFNA(_xlfn.IFS(AF122&gt;Dash!$H$46, "Big", AF122&lt;Dash!$H$49, "Small", AF122&gt;Dash!$H$47, "Good"), "Norm")</f>
        <v>Norm</v>
      </c>
      <c r="AH122">
        <v>32</v>
      </c>
      <c r="AI122" t="str">
        <f>_xlfn.IFNA(_xlfn.IFS(AH122&gt;Dash!$I$46, "Big", AH122&lt;Dash!$I$49, "Small", AH122&gt;Dash!$I$47, "Good"), "Norm")</f>
        <v>Norm</v>
      </c>
    </row>
    <row r="123" spans="1:35" x14ac:dyDescent="0.25">
      <c r="A123" s="1">
        <v>45348</v>
      </c>
      <c r="B123" t="s">
        <v>23</v>
      </c>
      <c r="C123" t="s">
        <v>24</v>
      </c>
      <c r="D123" t="s">
        <v>14</v>
      </c>
      <c r="E123">
        <v>93.5</v>
      </c>
      <c r="F123">
        <v>1800</v>
      </c>
      <c r="G123">
        <v>1800</v>
      </c>
      <c r="J123" t="s">
        <v>37</v>
      </c>
      <c r="K123" t="s">
        <v>31</v>
      </c>
      <c r="L123" t="s">
        <v>35</v>
      </c>
      <c r="M123" t="s">
        <v>18</v>
      </c>
      <c r="N123">
        <v>7</v>
      </c>
      <c r="R123" t="s">
        <v>20</v>
      </c>
      <c r="S123" t="s">
        <v>46</v>
      </c>
      <c r="T123">
        <v>125</v>
      </c>
      <c r="U123" t="str">
        <f>_xlfn.IFNA(_xlfn.IFS(E123&gt;Dash!$D$46, "Big", E123&lt;Dash!$D$49, "Small", E123&gt;Dash!$D$47, "Good"), "Norm")</f>
        <v>Small</v>
      </c>
      <c r="V123" t="s">
        <v>33</v>
      </c>
      <c r="W123">
        <v>198.75</v>
      </c>
      <c r="X123" t="s">
        <v>43</v>
      </c>
      <c r="Y123" s="1">
        <v>45348</v>
      </c>
      <c r="Z123">
        <v>66.25</v>
      </c>
      <c r="AA123" t="str">
        <f>_xlfn.IFNA(_xlfn.IFS(Z123&gt;Dash!$E$46, "Big", Z123&lt;Dash!$E$49, "Small", Z123&gt;Dash!$E$47, "Good"), "Norm")</f>
        <v>Norm</v>
      </c>
      <c r="AB123">
        <v>76</v>
      </c>
      <c r="AC123" t="str">
        <f>_xlfn.IFNA(_xlfn.IFS(AB123&gt;Dash!$F$46, "Big", AB123&lt;Dash!$F$49, "Small", AB123&gt;Dash!$F$47, "Good"), "Norm")</f>
        <v>Norm</v>
      </c>
      <c r="AD123">
        <v>92.75</v>
      </c>
      <c r="AE123" t="str">
        <f>_xlfn.IFNA(_xlfn.IFS(AD123&gt;Dash!$G$46, "Big", AD123&lt;Dash!$G$49, "Small", AD123&gt;Dash!$G$47, "Good"), "Norm")</f>
        <v>Small</v>
      </c>
      <c r="AF123">
        <v>86.25</v>
      </c>
      <c r="AG123" t="str">
        <f>_xlfn.IFNA(_xlfn.IFS(AF123&gt;Dash!$H$46, "Big", AF123&lt;Dash!$H$49, "Small", AF123&gt;Dash!$H$47, "Good"), "Norm")</f>
        <v>Small</v>
      </c>
      <c r="AH123">
        <v>32.5</v>
      </c>
      <c r="AI123" t="str">
        <f>_xlfn.IFNA(_xlfn.IFS(AH123&gt;Dash!$I$46, "Big", AH123&lt;Dash!$I$49, "Small", AH123&gt;Dash!$I$47, "Good"), "Norm")</f>
        <v>Norm</v>
      </c>
    </row>
    <row r="124" spans="1:35" x14ac:dyDescent="0.25">
      <c r="A124" s="1">
        <v>45349</v>
      </c>
      <c r="B124" t="s">
        <v>19</v>
      </c>
      <c r="C124" t="s">
        <v>20</v>
      </c>
      <c r="D124" t="s">
        <v>46</v>
      </c>
      <c r="E124">
        <v>125</v>
      </c>
      <c r="F124">
        <v>1200</v>
      </c>
      <c r="G124">
        <v>1300</v>
      </c>
      <c r="J124" t="s">
        <v>21</v>
      </c>
      <c r="K124" t="s">
        <v>22</v>
      </c>
      <c r="L124" t="s">
        <v>17</v>
      </c>
      <c r="M124" t="s">
        <v>19</v>
      </c>
      <c r="N124">
        <v>7</v>
      </c>
      <c r="R124" t="s">
        <v>13</v>
      </c>
      <c r="S124" t="s">
        <v>14</v>
      </c>
      <c r="T124">
        <v>99</v>
      </c>
      <c r="U124" t="str">
        <f>_xlfn.IFNA(_xlfn.IFS(E124&gt;Dash!$D$46, "Big", E124&lt;Dash!$D$49, "Small", E124&gt;Dash!$D$47, "Good"), "Norm")</f>
        <v>Small</v>
      </c>
      <c r="V124" t="s">
        <v>24</v>
      </c>
      <c r="W124">
        <v>93.5</v>
      </c>
      <c r="X124" t="s">
        <v>14</v>
      </c>
      <c r="Y124" s="1">
        <v>45349</v>
      </c>
      <c r="Z124">
        <v>42.5</v>
      </c>
      <c r="AA124" t="str">
        <f>_xlfn.IFNA(_xlfn.IFS(Z124&gt;Dash!$E$46, "Big", Z124&lt;Dash!$E$49, "Small", Z124&gt;Dash!$E$47, "Good"), "Norm")</f>
        <v>Norm</v>
      </c>
      <c r="AB124">
        <v>98</v>
      </c>
      <c r="AC124" t="str">
        <f>_xlfn.IFNA(_xlfn.IFS(AB124&gt;Dash!$F$46, "Big", AB124&lt;Dash!$F$49, "Small", AB124&gt;Dash!$F$47, "Good"), "Norm")</f>
        <v>Good</v>
      </c>
      <c r="AD124">
        <v>92.75</v>
      </c>
      <c r="AE124" t="str">
        <f>_xlfn.IFNA(_xlfn.IFS(AD124&gt;Dash!$G$46, "Big", AD124&lt;Dash!$G$49, "Small", AD124&gt;Dash!$G$47, "Good"), "Norm")</f>
        <v>Small</v>
      </c>
      <c r="AF124">
        <v>122.5</v>
      </c>
      <c r="AG124" t="str">
        <f>_xlfn.IFNA(_xlfn.IFS(AF124&gt;Dash!$H$46, "Big", AF124&lt;Dash!$H$49, "Small", AF124&gt;Dash!$H$47, "Good"), "Norm")</f>
        <v>Norm</v>
      </c>
      <c r="AH124">
        <v>18.5</v>
      </c>
      <c r="AI124" t="str">
        <f>_xlfn.IFNA(_xlfn.IFS(AH124&gt;Dash!$I$46, "Big", AH124&lt;Dash!$I$49, "Small", AH124&gt;Dash!$I$47, "Good"), "Norm")</f>
        <v>Small</v>
      </c>
    </row>
    <row r="125" spans="1:35" x14ac:dyDescent="0.25">
      <c r="A125" s="1">
        <v>45350</v>
      </c>
      <c r="B125" t="s">
        <v>18</v>
      </c>
      <c r="C125" t="s">
        <v>13</v>
      </c>
      <c r="D125" t="s">
        <v>14</v>
      </c>
      <c r="E125">
        <v>99</v>
      </c>
      <c r="F125">
        <v>400</v>
      </c>
      <c r="G125">
        <v>500</v>
      </c>
      <c r="J125" t="s">
        <v>15</v>
      </c>
      <c r="K125" t="s">
        <v>16</v>
      </c>
      <c r="L125" t="s">
        <v>42</v>
      </c>
      <c r="M125" t="s">
        <v>19</v>
      </c>
      <c r="N125">
        <v>7</v>
      </c>
      <c r="R125" t="s">
        <v>20</v>
      </c>
      <c r="S125" t="s">
        <v>38</v>
      </c>
      <c r="T125">
        <v>250</v>
      </c>
      <c r="U125" t="str">
        <f>_xlfn.IFNA(_xlfn.IFS(E125&gt;Dash!$D$46, "Big", E125&lt;Dash!$D$49, "Small", E125&gt;Dash!$D$47, "Good"), "Norm")</f>
        <v>Small</v>
      </c>
      <c r="V125" t="s">
        <v>20</v>
      </c>
      <c r="W125">
        <v>125</v>
      </c>
      <c r="X125" t="s">
        <v>46</v>
      </c>
      <c r="Y125" s="1">
        <v>45350</v>
      </c>
      <c r="Z125">
        <v>37.75</v>
      </c>
      <c r="AA125" t="str">
        <f>_xlfn.IFNA(_xlfn.IFS(Z125&gt;Dash!$E$46, "Big", Z125&lt;Dash!$E$49, "Small", Z125&gt;Dash!$E$47, "Good"), "Norm")</f>
        <v>Small</v>
      </c>
      <c r="AB125">
        <v>112.25</v>
      </c>
      <c r="AC125" t="str">
        <f>_xlfn.IFNA(_xlfn.IFS(AB125&gt;Dash!$F$46, "Big", AB125&lt;Dash!$F$49, "Small", AB125&gt;Dash!$F$47, "Good"), "Norm")</f>
        <v>Good</v>
      </c>
      <c r="AD125">
        <v>99</v>
      </c>
      <c r="AE125" t="str">
        <f>_xlfn.IFNA(_xlfn.IFS(AD125&gt;Dash!$G$46, "Big", AD125&lt;Dash!$G$49, "Small", AD125&gt;Dash!$G$47, "Good"), "Norm")</f>
        <v>Small</v>
      </c>
      <c r="AF125">
        <v>82.5</v>
      </c>
      <c r="AG125" t="str">
        <f>_xlfn.IFNA(_xlfn.IFS(AF125&gt;Dash!$H$46, "Big", AF125&lt;Dash!$H$49, "Small", AF125&gt;Dash!$H$47, "Good"), "Norm")</f>
        <v>Small</v>
      </c>
      <c r="AH125">
        <v>73.5</v>
      </c>
      <c r="AI125" t="str">
        <f>_xlfn.IFNA(_xlfn.IFS(AH125&gt;Dash!$I$46, "Big", AH125&lt;Dash!$I$49, "Small", AH125&gt;Dash!$I$47, "Good"), "Norm")</f>
        <v>Good</v>
      </c>
    </row>
    <row r="126" spans="1:35" x14ac:dyDescent="0.25">
      <c r="A126" s="1">
        <v>45351</v>
      </c>
      <c r="B126" t="s">
        <v>36</v>
      </c>
      <c r="C126" t="s">
        <v>20</v>
      </c>
      <c r="D126" t="s">
        <v>38</v>
      </c>
      <c r="E126">
        <v>250</v>
      </c>
      <c r="F126">
        <v>300</v>
      </c>
      <c r="G126">
        <v>300</v>
      </c>
      <c r="H126">
        <v>900</v>
      </c>
      <c r="I126">
        <v>1000</v>
      </c>
      <c r="J126" t="s">
        <v>15</v>
      </c>
      <c r="K126" t="s">
        <v>39</v>
      </c>
      <c r="L126" t="s">
        <v>32</v>
      </c>
      <c r="M126" t="s">
        <v>19</v>
      </c>
      <c r="N126">
        <v>7</v>
      </c>
      <c r="R126" t="s">
        <v>20</v>
      </c>
      <c r="S126" t="s">
        <v>28</v>
      </c>
      <c r="T126">
        <v>302.25</v>
      </c>
      <c r="U126" t="str">
        <f>_xlfn.IFNA(_xlfn.IFS(E126&gt;Dash!$D$46, "Big", E126&lt;Dash!$D$49, "Small", E126&gt;Dash!$D$47, "Good"), "Norm")</f>
        <v>Norm</v>
      </c>
      <c r="V126" t="s">
        <v>13</v>
      </c>
      <c r="W126">
        <v>99</v>
      </c>
      <c r="X126" t="s">
        <v>14</v>
      </c>
      <c r="Y126" s="1">
        <v>45351</v>
      </c>
      <c r="Z126">
        <v>65</v>
      </c>
      <c r="AA126" t="str">
        <f>_xlfn.IFNA(_xlfn.IFS(Z126&gt;Dash!$E$46, "Big", Z126&lt;Dash!$E$49, "Small", Z126&gt;Dash!$E$47, "Good"), "Norm")</f>
        <v>Norm</v>
      </c>
      <c r="AB126">
        <v>89.25</v>
      </c>
      <c r="AC126" t="str">
        <f>_xlfn.IFNA(_xlfn.IFS(AB126&gt;Dash!$F$46, "Big", AB126&lt;Dash!$F$49, "Small", AB126&gt;Dash!$F$47, "Good"), "Norm")</f>
        <v>Norm</v>
      </c>
      <c r="AD126">
        <v>213</v>
      </c>
      <c r="AE126" t="str">
        <f>_xlfn.IFNA(_xlfn.IFS(AD126&gt;Dash!$G$46, "Big", AD126&lt;Dash!$G$49, "Small", AD126&gt;Dash!$G$47, "Good"), "Norm")</f>
        <v>Good</v>
      </c>
      <c r="AF126">
        <v>140.5</v>
      </c>
      <c r="AG126" t="str">
        <f>_xlfn.IFNA(_xlfn.IFS(AF126&gt;Dash!$H$46, "Big", AF126&lt;Dash!$H$49, "Small", AF126&gt;Dash!$H$47, "Good"), "Norm")</f>
        <v>Norm</v>
      </c>
      <c r="AH126">
        <v>45.75</v>
      </c>
      <c r="AI126" t="str">
        <f>_xlfn.IFNA(_xlfn.IFS(AH126&gt;Dash!$I$46, "Big", AH126&lt;Dash!$I$49, "Small", AH126&gt;Dash!$I$47, "Good"), "Norm")</f>
        <v>Good</v>
      </c>
    </row>
    <row r="127" spans="1:35" x14ac:dyDescent="0.25">
      <c r="A127" s="1">
        <v>45352</v>
      </c>
      <c r="B127" t="s">
        <v>26</v>
      </c>
      <c r="C127" t="s">
        <v>20</v>
      </c>
      <c r="D127" t="s">
        <v>28</v>
      </c>
      <c r="E127">
        <v>302.25</v>
      </c>
      <c r="F127">
        <v>2000</v>
      </c>
      <c r="G127">
        <v>500</v>
      </c>
      <c r="J127" t="s">
        <v>29</v>
      </c>
      <c r="K127" t="s">
        <v>39</v>
      </c>
      <c r="L127" t="s">
        <v>32</v>
      </c>
      <c r="M127" t="s">
        <v>19</v>
      </c>
      <c r="N127">
        <v>7</v>
      </c>
      <c r="R127" t="s">
        <v>20</v>
      </c>
      <c r="S127" t="s">
        <v>43</v>
      </c>
      <c r="T127">
        <v>98.75</v>
      </c>
      <c r="U127" t="str">
        <f>_xlfn.IFNA(_xlfn.IFS(E127&gt;Dash!$D$46, "Big", E127&lt;Dash!$D$49, "Small", E127&gt;Dash!$D$47, "Good"), "Norm")</f>
        <v>Good</v>
      </c>
      <c r="V127" t="s">
        <v>20</v>
      </c>
      <c r="W127">
        <v>250</v>
      </c>
      <c r="X127" t="s">
        <v>38</v>
      </c>
      <c r="Y127" s="1">
        <v>45352</v>
      </c>
      <c r="Z127">
        <v>98</v>
      </c>
      <c r="AA127" t="str">
        <f>_xlfn.IFNA(_xlfn.IFS(Z127&gt;Dash!$E$46, "Big", Z127&lt;Dash!$E$49, "Small", Z127&gt;Dash!$E$47, "Good"), "Norm")</f>
        <v>Good</v>
      </c>
      <c r="AB127">
        <v>133.5</v>
      </c>
      <c r="AC127" t="str">
        <f>_xlfn.IFNA(_xlfn.IFS(AB127&gt;Dash!$F$46, "Big", AB127&lt;Dash!$F$49, "Small", AB127&gt;Dash!$F$47, "Good"), "Norm")</f>
        <v>Good</v>
      </c>
      <c r="AD127">
        <v>178.75</v>
      </c>
      <c r="AE127" t="str">
        <f>_xlfn.IFNA(_xlfn.IFS(AD127&gt;Dash!$G$46, "Big", AD127&lt;Dash!$G$49, "Small", AD127&gt;Dash!$G$47, "Good"), "Norm")</f>
        <v>Norm</v>
      </c>
      <c r="AF127">
        <v>151</v>
      </c>
      <c r="AG127" t="str">
        <f>_xlfn.IFNA(_xlfn.IFS(AF127&gt;Dash!$H$46, "Big", AF127&lt;Dash!$H$49, "Small", AF127&gt;Dash!$H$47, "Good"), "Norm")</f>
        <v>Good</v>
      </c>
      <c r="AH127">
        <v>20.25</v>
      </c>
      <c r="AI127" t="str">
        <f>_xlfn.IFNA(_xlfn.IFS(AH127&gt;Dash!$I$46, "Big", AH127&lt;Dash!$I$49, "Small", AH127&gt;Dash!$I$47, "Good"), "Norm")</f>
        <v>Small</v>
      </c>
    </row>
    <row r="128" spans="1:35" x14ac:dyDescent="0.25">
      <c r="A128" s="1">
        <v>45355</v>
      </c>
      <c r="B128" t="s">
        <v>23</v>
      </c>
      <c r="C128" t="s">
        <v>20</v>
      </c>
      <c r="D128" t="s">
        <v>43</v>
      </c>
      <c r="E128">
        <v>98.75</v>
      </c>
      <c r="F128">
        <v>400</v>
      </c>
      <c r="G128">
        <v>400</v>
      </c>
      <c r="J128" t="s">
        <v>30</v>
      </c>
      <c r="K128" t="s">
        <v>22</v>
      </c>
      <c r="L128" t="s">
        <v>42</v>
      </c>
      <c r="M128" t="s">
        <v>19</v>
      </c>
      <c r="N128">
        <v>9</v>
      </c>
      <c r="R128" t="s">
        <v>13</v>
      </c>
      <c r="S128" t="s">
        <v>14</v>
      </c>
      <c r="T128">
        <v>343.25</v>
      </c>
      <c r="U128" t="str">
        <f>_xlfn.IFNA(_xlfn.IFS(E128&gt;Dash!$D$46, "Big", E128&lt;Dash!$D$49, "Small", E128&gt;Dash!$D$47, "Good"), "Norm")</f>
        <v>Small</v>
      </c>
      <c r="V128" t="s">
        <v>20</v>
      </c>
      <c r="W128">
        <v>302.25</v>
      </c>
      <c r="X128" t="s">
        <v>28</v>
      </c>
      <c r="Y128" s="1">
        <v>45355</v>
      </c>
      <c r="Z128">
        <v>39</v>
      </c>
      <c r="AA128" t="str">
        <f>_xlfn.IFNA(_xlfn.IFS(Z128&gt;Dash!$E$46, "Big", Z128&lt;Dash!$E$49, "Small", Z128&gt;Dash!$E$47, "Good"), "Norm")</f>
        <v>Small</v>
      </c>
      <c r="AB128">
        <v>67</v>
      </c>
      <c r="AC128" t="str">
        <f>_xlfn.IFNA(_xlfn.IFS(AB128&gt;Dash!$F$46, "Big", AB128&lt;Dash!$F$49, "Small", AB128&gt;Dash!$F$47, "Good"), "Norm")</f>
        <v>Norm</v>
      </c>
      <c r="AD128">
        <v>70.75</v>
      </c>
      <c r="AE128" t="str">
        <f>_xlfn.IFNA(_xlfn.IFS(AD128&gt;Dash!$G$46, "Big", AD128&lt;Dash!$G$49, "Small", AD128&gt;Dash!$G$47, "Good"), "Norm")</f>
        <v>Small</v>
      </c>
      <c r="AF128">
        <v>94.25</v>
      </c>
      <c r="AG128" t="str">
        <f>_xlfn.IFNA(_xlfn.IFS(AF128&gt;Dash!$H$46, "Big", AF128&lt;Dash!$H$49, "Small", AF128&gt;Dash!$H$47, "Good"), "Norm")</f>
        <v>Norm</v>
      </c>
      <c r="AH128">
        <v>27.25</v>
      </c>
      <c r="AI128" t="str">
        <f>_xlfn.IFNA(_xlfn.IFS(AH128&gt;Dash!$I$46, "Big", AH128&lt;Dash!$I$49, "Small", AH128&gt;Dash!$I$47, "Good"), "Norm")</f>
        <v>Norm</v>
      </c>
    </row>
    <row r="129" spans="1:35" x14ac:dyDescent="0.25">
      <c r="A129" s="1">
        <v>45356</v>
      </c>
      <c r="B129" t="s">
        <v>19</v>
      </c>
      <c r="C129" t="s">
        <v>13</v>
      </c>
      <c r="D129" t="s">
        <v>14</v>
      </c>
      <c r="E129">
        <v>343.25</v>
      </c>
      <c r="F129">
        <v>1800</v>
      </c>
      <c r="J129" t="s">
        <v>37</v>
      </c>
      <c r="K129" t="s">
        <v>16</v>
      </c>
      <c r="L129" t="s">
        <v>17</v>
      </c>
      <c r="M129" t="s">
        <v>19</v>
      </c>
      <c r="N129">
        <v>9</v>
      </c>
      <c r="R129" t="s">
        <v>13</v>
      </c>
      <c r="S129">
        <v>1</v>
      </c>
      <c r="T129">
        <v>210.75</v>
      </c>
      <c r="U129" t="str">
        <f>_xlfn.IFNA(_xlfn.IFS(E129&gt;Dash!$D$46, "Big", E129&lt;Dash!$D$49, "Small", E129&gt;Dash!$D$47, "Good"), "Norm")</f>
        <v>Good</v>
      </c>
      <c r="V129" t="s">
        <v>20</v>
      </c>
      <c r="W129">
        <v>98.75</v>
      </c>
      <c r="X129" t="s">
        <v>43</v>
      </c>
      <c r="Y129" s="1">
        <v>45356</v>
      </c>
      <c r="Z129">
        <v>84.5</v>
      </c>
      <c r="AA129" t="str">
        <f>_xlfn.IFNA(_xlfn.IFS(Z129&gt;Dash!$E$46, "Big", Z129&lt;Dash!$E$49, "Small", Z129&gt;Dash!$E$47, "Good"), "Norm")</f>
        <v>Good</v>
      </c>
      <c r="AB129">
        <v>83.5</v>
      </c>
      <c r="AC129" t="str">
        <f>_xlfn.IFNA(_xlfn.IFS(AB129&gt;Dash!$F$46, "Big", AB129&lt;Dash!$F$49, "Small", AB129&gt;Dash!$F$47, "Good"), "Norm")</f>
        <v>Norm</v>
      </c>
      <c r="AD129">
        <v>268.25</v>
      </c>
      <c r="AE129" t="str">
        <f>_xlfn.IFNA(_xlfn.IFS(AD129&gt;Dash!$G$46, "Big", AD129&lt;Dash!$G$49, "Small", AD129&gt;Dash!$G$47, "Good"), "Norm")</f>
        <v>Good</v>
      </c>
      <c r="AF129">
        <v>146</v>
      </c>
      <c r="AG129" t="str">
        <f>_xlfn.IFNA(_xlfn.IFS(AF129&gt;Dash!$H$46, "Big", AF129&lt;Dash!$H$49, "Small", AF129&gt;Dash!$H$47, "Good"), "Norm")</f>
        <v>Norm</v>
      </c>
      <c r="AH129">
        <v>59.25</v>
      </c>
      <c r="AI129" t="str">
        <f>_xlfn.IFNA(_xlfn.IFS(AH129&gt;Dash!$I$46, "Big", AH129&lt;Dash!$I$49, "Small", AH129&gt;Dash!$I$47, "Good"), "Norm")</f>
        <v>Good</v>
      </c>
    </row>
    <row r="130" spans="1:35" x14ac:dyDescent="0.25">
      <c r="A130" s="1">
        <v>45357</v>
      </c>
      <c r="B130" t="s">
        <v>18</v>
      </c>
      <c r="C130" t="s">
        <v>13</v>
      </c>
      <c r="D130">
        <v>1</v>
      </c>
      <c r="E130">
        <v>210.75</v>
      </c>
      <c r="J130" t="s">
        <v>34</v>
      </c>
      <c r="K130" t="s">
        <v>31</v>
      </c>
      <c r="L130" t="s">
        <v>32</v>
      </c>
      <c r="M130" t="s">
        <v>19</v>
      </c>
      <c r="N130">
        <v>9</v>
      </c>
      <c r="R130" t="s">
        <v>20</v>
      </c>
      <c r="S130" t="s">
        <v>38</v>
      </c>
      <c r="T130">
        <v>254.75</v>
      </c>
      <c r="U130" t="str">
        <f>_xlfn.IFNA(_xlfn.IFS(E130&gt;Dash!$D$46, "Big", E130&lt;Dash!$D$49, "Small", E130&gt;Dash!$D$47, "Good"), "Norm")</f>
        <v>Norm</v>
      </c>
      <c r="V130" t="s">
        <v>13</v>
      </c>
      <c r="W130">
        <v>343.25</v>
      </c>
      <c r="X130" t="s">
        <v>14</v>
      </c>
      <c r="Y130" s="1">
        <v>45357</v>
      </c>
      <c r="Z130">
        <v>45.5</v>
      </c>
      <c r="AA130" t="str">
        <f>_xlfn.IFNA(_xlfn.IFS(Z130&gt;Dash!$E$46, "Big", Z130&lt;Dash!$E$49, "Small", Z130&gt;Dash!$E$47, "Good"), "Norm")</f>
        <v>Norm</v>
      </c>
      <c r="AB130">
        <v>106.5</v>
      </c>
      <c r="AC130" t="str">
        <f>_xlfn.IFNA(_xlfn.IFS(AB130&gt;Dash!$F$46, "Big", AB130&lt;Dash!$F$49, "Small", AB130&gt;Dash!$F$47, "Good"), "Norm")</f>
        <v>Good</v>
      </c>
      <c r="AD130">
        <v>167.25</v>
      </c>
      <c r="AE130" t="str">
        <f>_xlfn.IFNA(_xlfn.IFS(AD130&gt;Dash!$G$46, "Big", AD130&lt;Dash!$G$49, "Small", AD130&gt;Dash!$G$47, "Good"), "Norm")</f>
        <v>Norm</v>
      </c>
      <c r="AF130">
        <v>189.75</v>
      </c>
      <c r="AG130" t="str">
        <f>_xlfn.IFNA(_xlfn.IFS(AF130&gt;Dash!$H$46, "Big", AF130&lt;Dash!$H$49, "Small", AF130&gt;Dash!$H$47, "Good"), "Norm")</f>
        <v>Good</v>
      </c>
      <c r="AH130">
        <v>23.5</v>
      </c>
      <c r="AI130" t="str">
        <f>_xlfn.IFNA(_xlfn.IFS(AH130&gt;Dash!$I$46, "Big", AH130&lt;Dash!$I$49, "Small", AH130&gt;Dash!$I$47, "Good"), "Norm")</f>
        <v>Norm</v>
      </c>
    </row>
    <row r="131" spans="1:35" x14ac:dyDescent="0.25">
      <c r="A131" s="1">
        <v>45358</v>
      </c>
      <c r="B131" t="s">
        <v>36</v>
      </c>
      <c r="C131" t="s">
        <v>20</v>
      </c>
      <c r="D131" t="s">
        <v>38</v>
      </c>
      <c r="E131">
        <v>254.75</v>
      </c>
      <c r="F131">
        <v>2100</v>
      </c>
      <c r="G131">
        <v>2100</v>
      </c>
      <c r="H131">
        <v>900</v>
      </c>
      <c r="J131" t="s">
        <v>37</v>
      </c>
      <c r="K131" t="s">
        <v>39</v>
      </c>
      <c r="L131" t="s">
        <v>32</v>
      </c>
      <c r="M131" t="s">
        <v>19</v>
      </c>
      <c r="N131">
        <v>9</v>
      </c>
      <c r="R131" t="s">
        <v>33</v>
      </c>
      <c r="S131" t="s">
        <v>43</v>
      </c>
      <c r="T131">
        <v>424</v>
      </c>
      <c r="U131" t="str">
        <f>_xlfn.IFNA(_xlfn.IFS(E131&gt;Dash!$D$46, "Big", E131&lt;Dash!$D$49, "Small", E131&gt;Dash!$D$47, "Good"), "Norm")</f>
        <v>Good</v>
      </c>
      <c r="V131" t="s">
        <v>13</v>
      </c>
      <c r="W131">
        <v>210.75</v>
      </c>
      <c r="X131">
        <v>1</v>
      </c>
      <c r="Y131" s="1">
        <v>45358</v>
      </c>
      <c r="Z131">
        <v>114.75</v>
      </c>
      <c r="AA131" t="str">
        <f>_xlfn.IFNA(_xlfn.IFS(Z131&gt;Dash!$E$46, "Big", Z131&lt;Dash!$E$49, "Small", Z131&gt;Dash!$E$47, "Good"), "Norm")</f>
        <v>Good</v>
      </c>
      <c r="AB131">
        <v>221.5</v>
      </c>
      <c r="AC131" t="str">
        <f>_xlfn.IFNA(_xlfn.IFS(AB131&gt;Dash!$F$46, "Big", AB131&lt;Dash!$F$49, "Small", AB131&gt;Dash!$F$47, "Good"), "Norm")</f>
        <v>Big</v>
      </c>
      <c r="AD131">
        <v>201.75</v>
      </c>
      <c r="AE131" t="str">
        <f>_xlfn.IFNA(_xlfn.IFS(AD131&gt;Dash!$G$46, "Big", AD131&lt;Dash!$G$49, "Small", AD131&gt;Dash!$G$47, "Good"), "Norm")</f>
        <v>Good</v>
      </c>
      <c r="AF131">
        <v>73.75</v>
      </c>
      <c r="AG131" t="str">
        <f>_xlfn.IFNA(_xlfn.IFS(AF131&gt;Dash!$H$46, "Big", AF131&lt;Dash!$H$49, "Small", AF131&gt;Dash!$H$47, "Good"), "Norm")</f>
        <v>Small</v>
      </c>
      <c r="AH131">
        <v>153.75</v>
      </c>
      <c r="AI131" t="str">
        <f>_xlfn.IFNA(_xlfn.IFS(AH131&gt;Dash!$I$46, "Big", AH131&lt;Dash!$I$49, "Small", AH131&gt;Dash!$I$47, "Good"), "Norm")</f>
        <v>Big</v>
      </c>
    </row>
    <row r="132" spans="1:35" x14ac:dyDescent="0.25">
      <c r="A132" s="1">
        <v>45359</v>
      </c>
      <c r="B132" t="s">
        <v>26</v>
      </c>
      <c r="C132" t="s">
        <v>33</v>
      </c>
      <c r="D132" t="s">
        <v>43</v>
      </c>
      <c r="E132">
        <v>424</v>
      </c>
      <c r="F132">
        <v>800</v>
      </c>
      <c r="G132">
        <v>800</v>
      </c>
      <c r="J132" t="s">
        <v>27</v>
      </c>
      <c r="K132" t="s">
        <v>35</v>
      </c>
      <c r="L132" t="s">
        <v>17</v>
      </c>
      <c r="M132" t="s">
        <v>19</v>
      </c>
      <c r="N132">
        <v>9</v>
      </c>
      <c r="R132" t="s">
        <v>41</v>
      </c>
      <c r="S132">
        <v>1</v>
      </c>
      <c r="T132">
        <v>133.25</v>
      </c>
      <c r="U132" t="str">
        <f>_xlfn.IFNA(_xlfn.IFS(E132&gt;Dash!$D$46, "Big", E132&lt;Dash!$D$49, "Small", E132&gt;Dash!$D$47, "Good"), "Norm")</f>
        <v>Big</v>
      </c>
      <c r="V132" t="s">
        <v>20</v>
      </c>
      <c r="W132">
        <v>254.75</v>
      </c>
      <c r="X132" t="s">
        <v>38</v>
      </c>
      <c r="Y132" s="1">
        <v>45359</v>
      </c>
      <c r="Z132">
        <v>61.75</v>
      </c>
      <c r="AA132" t="str">
        <f>_xlfn.IFNA(_xlfn.IFS(Z132&gt;Dash!$E$46, "Big", Z132&lt;Dash!$E$49, "Small", Z132&gt;Dash!$E$47, "Good"), "Norm")</f>
        <v>Norm</v>
      </c>
      <c r="AB132">
        <v>103</v>
      </c>
      <c r="AC132" t="str">
        <f>_xlfn.IFNA(_xlfn.IFS(AB132&gt;Dash!$F$46, "Big", AB132&lt;Dash!$F$49, "Small", AB132&gt;Dash!$F$47, "Good"), "Norm")</f>
        <v>Good</v>
      </c>
      <c r="AD132">
        <v>287.25</v>
      </c>
      <c r="AE132" t="str">
        <f>_xlfn.IFNA(_xlfn.IFS(AD132&gt;Dash!$G$46, "Big", AD132&lt;Dash!$G$49, "Small", AD132&gt;Dash!$G$47, "Good"), "Norm")</f>
        <v>Good</v>
      </c>
      <c r="AF132">
        <v>200.5</v>
      </c>
      <c r="AG132" t="str">
        <f>_xlfn.IFNA(_xlfn.IFS(AF132&gt;Dash!$H$46, "Big", AF132&lt;Dash!$H$49, "Small", AF132&gt;Dash!$H$47, "Good"), "Norm")</f>
        <v>Good</v>
      </c>
      <c r="AH132">
        <v>40.5</v>
      </c>
      <c r="AI132" t="str">
        <f>_xlfn.IFNA(_xlfn.IFS(AH132&gt;Dash!$I$46, "Big", AH132&lt;Dash!$I$49, "Small", AH132&gt;Dash!$I$47, "Good"), "Norm")</f>
        <v>Good</v>
      </c>
    </row>
    <row r="133" spans="1:35" x14ac:dyDescent="0.25">
      <c r="A133" s="1">
        <v>45362</v>
      </c>
      <c r="B133" t="s">
        <v>23</v>
      </c>
      <c r="C133" t="s">
        <v>41</v>
      </c>
      <c r="D133">
        <v>1</v>
      </c>
      <c r="E133">
        <v>133.25</v>
      </c>
      <c r="J133" t="s">
        <v>34</v>
      </c>
      <c r="K133" t="s">
        <v>22</v>
      </c>
      <c r="L133" t="s">
        <v>25</v>
      </c>
      <c r="M133" t="s">
        <v>19</v>
      </c>
      <c r="N133">
        <v>12</v>
      </c>
      <c r="R133" t="s">
        <v>33</v>
      </c>
      <c r="S133" t="s">
        <v>28</v>
      </c>
      <c r="T133">
        <v>317</v>
      </c>
      <c r="U133" t="str">
        <f>_xlfn.IFNA(_xlfn.IFS(E133&gt;Dash!$D$46, "Big", E133&lt;Dash!$D$49, "Small", E133&gt;Dash!$D$47, "Good"), "Norm")</f>
        <v>Small</v>
      </c>
      <c r="V133" t="s">
        <v>33</v>
      </c>
      <c r="W133">
        <v>424</v>
      </c>
      <c r="X133" t="s">
        <v>43</v>
      </c>
      <c r="Y133" s="1">
        <v>45362</v>
      </c>
      <c r="Z133">
        <v>79.25</v>
      </c>
      <c r="AA133" t="str">
        <f>_xlfn.IFNA(_xlfn.IFS(Z133&gt;Dash!$E$46, "Big", Z133&lt;Dash!$E$49, "Small", Z133&gt;Dash!$E$47, "Good"), "Norm")</f>
        <v>Good</v>
      </c>
      <c r="AB133">
        <v>115</v>
      </c>
      <c r="AC133" t="str">
        <f>_xlfn.IFNA(_xlfn.IFS(AB133&gt;Dash!$F$46, "Big", AB133&lt;Dash!$F$49, "Small", AB133&gt;Dash!$F$47, "Good"), "Norm")</f>
        <v>Good</v>
      </c>
      <c r="AD133">
        <v>131</v>
      </c>
      <c r="AE133" t="str">
        <f>_xlfn.IFNA(_xlfn.IFS(AD133&gt;Dash!$G$46, "Big", AD133&lt;Dash!$G$49, "Small", AD133&gt;Dash!$G$47, "Good"), "Norm")</f>
        <v>Norm</v>
      </c>
      <c r="AF133">
        <v>84</v>
      </c>
      <c r="AG133" t="str">
        <f>_xlfn.IFNA(_xlfn.IFS(AF133&gt;Dash!$H$46, "Big", AF133&lt;Dash!$H$49, "Small", AF133&gt;Dash!$H$47, "Good"), "Norm")</f>
        <v>Small</v>
      </c>
      <c r="AH133">
        <v>46.5</v>
      </c>
      <c r="AI133" t="str">
        <f>_xlfn.IFNA(_xlfn.IFS(AH133&gt;Dash!$I$46, "Big", AH133&lt;Dash!$I$49, "Small", AH133&gt;Dash!$I$47, "Good"), "Norm")</f>
        <v>Good</v>
      </c>
    </row>
    <row r="134" spans="1:35" x14ac:dyDescent="0.25">
      <c r="A134" s="1">
        <v>45363</v>
      </c>
      <c r="B134" t="s">
        <v>19</v>
      </c>
      <c r="C134" t="s">
        <v>33</v>
      </c>
      <c r="D134" t="s">
        <v>28</v>
      </c>
      <c r="E134">
        <v>317</v>
      </c>
      <c r="F134">
        <v>2000</v>
      </c>
      <c r="G134">
        <v>2000</v>
      </c>
      <c r="J134" t="s">
        <v>29</v>
      </c>
      <c r="K134" t="s">
        <v>25</v>
      </c>
      <c r="L134" t="s">
        <v>32</v>
      </c>
      <c r="M134" t="s">
        <v>19</v>
      </c>
      <c r="N134">
        <v>12</v>
      </c>
      <c r="R134" t="s">
        <v>41</v>
      </c>
      <c r="S134" t="s">
        <v>43</v>
      </c>
      <c r="T134">
        <v>185.5</v>
      </c>
      <c r="U134" t="str">
        <f>_xlfn.IFNA(_xlfn.IFS(E134&gt;Dash!$D$46, "Big", E134&lt;Dash!$D$49, "Small", E134&gt;Dash!$D$47, "Good"), "Norm")</f>
        <v>Good</v>
      </c>
      <c r="V134" t="s">
        <v>41</v>
      </c>
      <c r="W134">
        <v>133.25</v>
      </c>
      <c r="X134">
        <v>1</v>
      </c>
      <c r="Y134" s="1">
        <v>45363</v>
      </c>
      <c r="Z134">
        <v>97</v>
      </c>
      <c r="AA134" t="str">
        <f>_xlfn.IFNA(_xlfn.IFS(Z134&gt;Dash!$E$46, "Big", Z134&lt;Dash!$E$49, "Small", Z134&gt;Dash!$E$47, "Good"), "Norm")</f>
        <v>Good</v>
      </c>
      <c r="AB134">
        <v>68.25</v>
      </c>
      <c r="AC134" t="str">
        <f>_xlfn.IFNA(_xlfn.IFS(AB134&gt;Dash!$F$46, "Big", AB134&lt;Dash!$F$49, "Small", AB134&gt;Dash!$F$47, "Good"), "Norm")</f>
        <v>Norm</v>
      </c>
      <c r="AD134">
        <v>283.5</v>
      </c>
      <c r="AE134" t="str">
        <f>_xlfn.IFNA(_xlfn.IFS(AD134&gt;Dash!$G$46, "Big", AD134&lt;Dash!$G$49, "Small", AD134&gt;Dash!$G$47, "Good"), "Norm")</f>
        <v>Good</v>
      </c>
      <c r="AF134">
        <v>167.75</v>
      </c>
      <c r="AG134" t="str">
        <f>_xlfn.IFNA(_xlfn.IFS(AF134&gt;Dash!$H$46, "Big", AF134&lt;Dash!$H$49, "Small", AF134&gt;Dash!$H$47, "Good"), "Norm")</f>
        <v>Good</v>
      </c>
      <c r="AH134">
        <v>18.5</v>
      </c>
      <c r="AI134" t="str">
        <f>_xlfn.IFNA(_xlfn.IFS(AH134&gt;Dash!$I$46, "Big", AH134&lt;Dash!$I$49, "Small", AH134&gt;Dash!$I$47, "Good"), "Norm")</f>
        <v>Small</v>
      </c>
    </row>
    <row r="135" spans="1:35" x14ac:dyDescent="0.25">
      <c r="A135" s="1">
        <v>45364</v>
      </c>
      <c r="B135" t="s">
        <v>18</v>
      </c>
      <c r="C135" t="s">
        <v>41</v>
      </c>
      <c r="D135" t="s">
        <v>43</v>
      </c>
      <c r="E135">
        <v>185.5</v>
      </c>
      <c r="F135">
        <v>300</v>
      </c>
      <c r="G135">
        <v>400</v>
      </c>
      <c r="J135" t="s">
        <v>30</v>
      </c>
      <c r="K135" t="s">
        <v>22</v>
      </c>
      <c r="L135" t="s">
        <v>25</v>
      </c>
      <c r="M135" t="s">
        <v>19</v>
      </c>
      <c r="N135">
        <v>12</v>
      </c>
      <c r="R135" t="s">
        <v>20</v>
      </c>
      <c r="S135" t="s">
        <v>14</v>
      </c>
      <c r="T135">
        <v>252.75</v>
      </c>
      <c r="U135" t="str">
        <f>_xlfn.IFNA(_xlfn.IFS(E135&gt;Dash!$D$46, "Big", E135&lt;Dash!$D$49, "Small", E135&gt;Dash!$D$47, "Good"), "Norm")</f>
        <v>Norm</v>
      </c>
      <c r="V135" t="s">
        <v>33</v>
      </c>
      <c r="W135">
        <v>317</v>
      </c>
      <c r="X135" t="s">
        <v>28</v>
      </c>
      <c r="Y135" s="1">
        <v>45364</v>
      </c>
      <c r="Z135">
        <v>43.75</v>
      </c>
      <c r="AA135" t="str">
        <f>_xlfn.IFNA(_xlfn.IFS(Z135&gt;Dash!$E$46, "Big", Z135&lt;Dash!$E$49, "Small", Z135&gt;Dash!$E$47, "Good"), "Norm")</f>
        <v>Norm</v>
      </c>
      <c r="AB135">
        <v>69.75</v>
      </c>
      <c r="AC135" t="str">
        <f>_xlfn.IFNA(_xlfn.IFS(AB135&gt;Dash!$F$46, "Big", AB135&lt;Dash!$F$49, "Small", AB135&gt;Dash!$F$47, "Good"), "Norm")</f>
        <v>Norm</v>
      </c>
      <c r="AD135">
        <v>185.5</v>
      </c>
      <c r="AE135" t="str">
        <f>_xlfn.IFNA(_xlfn.IFS(AD135&gt;Dash!$G$46, "Big", AD135&lt;Dash!$G$49, "Small", AD135&gt;Dash!$G$47, "Good"), "Norm")</f>
        <v>Norm</v>
      </c>
      <c r="AF135">
        <v>115.5</v>
      </c>
      <c r="AG135" t="str">
        <f>_xlfn.IFNA(_xlfn.IFS(AF135&gt;Dash!$H$46, "Big", AF135&lt;Dash!$H$49, "Small", AF135&gt;Dash!$H$47, "Good"), "Norm")</f>
        <v>Norm</v>
      </c>
      <c r="AH135">
        <v>32.75</v>
      </c>
      <c r="AI135" t="str">
        <f>_xlfn.IFNA(_xlfn.IFS(AH135&gt;Dash!$I$46, "Big", AH135&lt;Dash!$I$49, "Small", AH135&gt;Dash!$I$47, "Good"), "Norm")</f>
        <v>Norm</v>
      </c>
    </row>
    <row r="136" spans="1:35" x14ac:dyDescent="0.25">
      <c r="A136" s="1">
        <v>45365</v>
      </c>
      <c r="B136" t="s">
        <v>36</v>
      </c>
      <c r="C136" t="s">
        <v>20</v>
      </c>
      <c r="D136" t="s">
        <v>14</v>
      </c>
      <c r="E136">
        <v>252.75</v>
      </c>
      <c r="F136">
        <v>900</v>
      </c>
      <c r="G136">
        <v>1000</v>
      </c>
      <c r="J136" t="s">
        <v>45</v>
      </c>
      <c r="K136" t="s">
        <v>22</v>
      </c>
      <c r="L136" t="s">
        <v>17</v>
      </c>
      <c r="M136" t="s">
        <v>19</v>
      </c>
      <c r="N136">
        <v>12</v>
      </c>
      <c r="R136" t="s">
        <v>20</v>
      </c>
      <c r="S136" t="s">
        <v>14</v>
      </c>
      <c r="T136">
        <v>277.25</v>
      </c>
      <c r="U136" t="str">
        <f>_xlfn.IFNA(_xlfn.IFS(E136&gt;Dash!$D$46, "Big", E136&lt;Dash!$D$49, "Small", E136&gt;Dash!$D$47, "Good"), "Norm")</f>
        <v>Good</v>
      </c>
      <c r="V136" t="s">
        <v>41</v>
      </c>
      <c r="W136">
        <v>185.5</v>
      </c>
      <c r="X136" t="s">
        <v>43</v>
      </c>
      <c r="Y136" s="1">
        <v>45365</v>
      </c>
      <c r="Z136">
        <v>49.75</v>
      </c>
      <c r="AA136" t="str">
        <f>_xlfn.IFNA(_xlfn.IFS(Z136&gt;Dash!$E$46, "Big", Z136&lt;Dash!$E$49, "Small", Z136&gt;Dash!$E$47, "Good"), "Norm")</f>
        <v>Norm</v>
      </c>
      <c r="AB136">
        <v>53.25</v>
      </c>
      <c r="AC136" t="str">
        <f>_xlfn.IFNA(_xlfn.IFS(AB136&gt;Dash!$F$46, "Big", AB136&lt;Dash!$F$49, "Small", AB136&gt;Dash!$F$47, "Good"), "Norm")</f>
        <v>Small</v>
      </c>
      <c r="AD136">
        <v>210.75</v>
      </c>
      <c r="AE136" t="str">
        <f>_xlfn.IFNA(_xlfn.IFS(AD136&gt;Dash!$G$46, "Big", AD136&lt;Dash!$G$49, "Small", AD136&gt;Dash!$G$47, "Good"), "Norm")</f>
        <v>Good</v>
      </c>
      <c r="AF136">
        <v>171</v>
      </c>
      <c r="AG136" t="str">
        <f>_xlfn.IFNA(_xlfn.IFS(AF136&gt;Dash!$H$46, "Big", AF136&lt;Dash!$H$49, "Small", AF136&gt;Dash!$H$47, "Good"), "Norm")</f>
        <v>Good</v>
      </c>
      <c r="AH136">
        <v>44.5</v>
      </c>
      <c r="AI136" t="str">
        <f>_xlfn.IFNA(_xlfn.IFS(AH136&gt;Dash!$I$46, "Big", AH136&lt;Dash!$I$49, "Small", AH136&gt;Dash!$I$47, "Good"), "Norm")</f>
        <v>Good</v>
      </c>
    </row>
    <row r="137" spans="1:35" x14ac:dyDescent="0.25">
      <c r="A137" s="1">
        <v>45366</v>
      </c>
      <c r="B137" t="s">
        <v>26</v>
      </c>
      <c r="C137" t="s">
        <v>20</v>
      </c>
      <c r="D137" t="s">
        <v>14</v>
      </c>
      <c r="E137">
        <v>277.25</v>
      </c>
      <c r="F137">
        <v>900</v>
      </c>
      <c r="J137" t="s">
        <v>45</v>
      </c>
      <c r="K137" t="s">
        <v>22</v>
      </c>
      <c r="L137" t="s">
        <v>17</v>
      </c>
      <c r="M137" t="s">
        <v>19</v>
      </c>
      <c r="N137">
        <v>12</v>
      </c>
      <c r="O137" t="s">
        <v>67</v>
      </c>
      <c r="R137" t="s">
        <v>24</v>
      </c>
      <c r="S137" t="s">
        <v>43</v>
      </c>
      <c r="T137">
        <v>162</v>
      </c>
      <c r="U137" t="str">
        <f>_xlfn.IFNA(_xlfn.IFS(E137&gt;Dash!$D$46, "Big", E137&lt;Dash!$D$49, "Small", E137&gt;Dash!$D$47, "Good"), "Norm")</f>
        <v>Good</v>
      </c>
      <c r="V137" t="s">
        <v>20</v>
      </c>
      <c r="W137">
        <v>252.75</v>
      </c>
      <c r="X137" t="s">
        <v>14</v>
      </c>
      <c r="Y137" s="1">
        <v>45366</v>
      </c>
      <c r="Z137">
        <v>63.5</v>
      </c>
      <c r="AA137" t="str">
        <f>_xlfn.IFNA(_xlfn.IFS(Z137&gt;Dash!$E$46, "Big", Z137&lt;Dash!$E$49, "Small", Z137&gt;Dash!$E$47, "Good"), "Norm")</f>
        <v>Norm</v>
      </c>
      <c r="AB137">
        <v>114.5</v>
      </c>
      <c r="AC137" t="str">
        <f>_xlfn.IFNA(_xlfn.IFS(AB137&gt;Dash!$F$46, "Big", AB137&lt;Dash!$F$49, "Small", AB137&gt;Dash!$F$47, "Good"), "Norm")</f>
        <v>Good</v>
      </c>
      <c r="AD137">
        <v>254.5</v>
      </c>
      <c r="AE137" t="str">
        <f>_xlfn.IFNA(_xlfn.IFS(AD137&gt;Dash!$G$46, "Big", AD137&lt;Dash!$G$49, "Small", AD137&gt;Dash!$G$47, "Good"), "Norm")</f>
        <v>Good</v>
      </c>
      <c r="AF137">
        <v>100.5</v>
      </c>
      <c r="AG137" t="str">
        <f>_xlfn.IFNA(_xlfn.IFS(AF137&gt;Dash!$H$46, "Big", AF137&lt;Dash!$H$49, "Small", AF137&gt;Dash!$H$47, "Good"), "Norm")</f>
        <v>Norm</v>
      </c>
      <c r="AH137">
        <v>12.75</v>
      </c>
      <c r="AI137" t="str">
        <f>_xlfn.IFNA(_xlfn.IFS(AH137&gt;Dash!$I$46, "Big", AH137&lt;Dash!$I$49, "Small", AH137&gt;Dash!$I$47, "Good"), "Norm")</f>
        <v>Small</v>
      </c>
    </row>
    <row r="138" spans="1:35" x14ac:dyDescent="0.25">
      <c r="A138" s="1">
        <v>45369</v>
      </c>
      <c r="B138" t="s">
        <v>23</v>
      </c>
      <c r="C138" t="s">
        <v>24</v>
      </c>
      <c r="D138" t="s">
        <v>43</v>
      </c>
      <c r="E138">
        <v>162</v>
      </c>
      <c r="F138">
        <v>900</v>
      </c>
      <c r="G138">
        <v>1100</v>
      </c>
      <c r="J138" t="s">
        <v>27</v>
      </c>
      <c r="K138" t="s">
        <v>31</v>
      </c>
      <c r="L138" t="s">
        <v>35</v>
      </c>
      <c r="M138" t="s">
        <v>18</v>
      </c>
      <c r="N138">
        <v>8</v>
      </c>
      <c r="R138" t="s">
        <v>33</v>
      </c>
      <c r="S138" t="s">
        <v>46</v>
      </c>
      <c r="T138">
        <v>236</v>
      </c>
      <c r="U138" t="str">
        <f>_xlfn.IFNA(_xlfn.IFS(E138&gt;Dash!$D$46, "Big", E138&lt;Dash!$D$49, "Small", E138&gt;Dash!$D$47, "Good"), "Norm")</f>
        <v>Norm</v>
      </c>
      <c r="V138" t="s">
        <v>20</v>
      </c>
      <c r="W138">
        <v>277.25</v>
      </c>
      <c r="X138" t="s">
        <v>14</v>
      </c>
      <c r="Y138" s="1">
        <v>45369</v>
      </c>
      <c r="Z138">
        <v>96.75</v>
      </c>
      <c r="AA138" t="str">
        <f>_xlfn.IFNA(_xlfn.IFS(Z138&gt;Dash!$E$46, "Big", Z138&lt;Dash!$E$49, "Small", Z138&gt;Dash!$E$47, "Good"), "Norm")</f>
        <v>Good</v>
      </c>
      <c r="AB138">
        <v>129</v>
      </c>
      <c r="AC138" t="str">
        <f>_xlfn.IFNA(_xlfn.IFS(AB138&gt;Dash!$F$46, "Big", AB138&lt;Dash!$F$49, "Small", AB138&gt;Dash!$F$47, "Good"), "Norm")</f>
        <v>Good</v>
      </c>
      <c r="AD138">
        <v>118.5</v>
      </c>
      <c r="AE138" t="str">
        <f>_xlfn.IFNA(_xlfn.IFS(AD138&gt;Dash!$G$46, "Big", AD138&lt;Dash!$G$49, "Small", AD138&gt;Dash!$G$47, "Good"), "Norm")</f>
        <v>Norm</v>
      </c>
      <c r="AF138">
        <v>95</v>
      </c>
      <c r="AG138" t="str">
        <f>_xlfn.IFNA(_xlfn.IFS(AF138&gt;Dash!$H$46, "Big", AF138&lt;Dash!$H$49, "Small", AF138&gt;Dash!$H$47, "Good"), "Norm")</f>
        <v>Norm</v>
      </c>
      <c r="AH138">
        <v>41.75</v>
      </c>
      <c r="AI138" t="str">
        <f>_xlfn.IFNA(_xlfn.IFS(AH138&gt;Dash!$I$46, "Big", AH138&lt;Dash!$I$49, "Small", AH138&gt;Dash!$I$47, "Good"), "Norm")</f>
        <v>Good</v>
      </c>
    </row>
    <row r="139" spans="1:35" x14ac:dyDescent="0.25">
      <c r="A139" s="1">
        <v>45370</v>
      </c>
      <c r="B139" t="s">
        <v>19</v>
      </c>
      <c r="C139" t="s">
        <v>33</v>
      </c>
      <c r="D139" t="s">
        <v>46</v>
      </c>
      <c r="E139">
        <v>236</v>
      </c>
      <c r="F139">
        <v>900</v>
      </c>
      <c r="G139">
        <v>900</v>
      </c>
      <c r="J139" t="s">
        <v>45</v>
      </c>
      <c r="K139" t="s">
        <v>25</v>
      </c>
      <c r="L139" t="s">
        <v>32</v>
      </c>
      <c r="M139" t="s">
        <v>18</v>
      </c>
      <c r="N139">
        <v>8</v>
      </c>
      <c r="R139" t="s">
        <v>13</v>
      </c>
      <c r="S139" t="s">
        <v>14</v>
      </c>
      <c r="T139">
        <v>253</v>
      </c>
      <c r="U139" t="str">
        <f>_xlfn.IFNA(_xlfn.IFS(E139&gt;Dash!$D$46, "Big", E139&lt;Dash!$D$49, "Small", E139&gt;Dash!$D$47, "Good"), "Norm")</f>
        <v>Norm</v>
      </c>
      <c r="V139" t="s">
        <v>24</v>
      </c>
      <c r="W139">
        <v>162</v>
      </c>
      <c r="X139" t="s">
        <v>43</v>
      </c>
      <c r="Y139" s="1">
        <v>45370</v>
      </c>
      <c r="Z139">
        <v>75.75</v>
      </c>
      <c r="AA139" t="str">
        <f>_xlfn.IFNA(_xlfn.IFS(Z139&gt;Dash!$E$46, "Big", Z139&lt;Dash!$E$49, "Small", Z139&gt;Dash!$E$47, "Good"), "Norm")</f>
        <v>Norm</v>
      </c>
      <c r="AB139">
        <v>148.75</v>
      </c>
      <c r="AC139" t="str">
        <f>_xlfn.IFNA(_xlfn.IFS(AB139&gt;Dash!$F$46, "Big", AB139&lt;Dash!$F$49, "Small", AB139&gt;Dash!$F$47, "Good"), "Norm")</f>
        <v>Good</v>
      </c>
      <c r="AD139">
        <v>115.75</v>
      </c>
      <c r="AE139" t="str">
        <f>_xlfn.IFNA(_xlfn.IFS(AD139&gt;Dash!$G$46, "Big", AD139&lt;Dash!$G$49, "Small", AD139&gt;Dash!$G$47, "Good"), "Norm")</f>
        <v>Norm</v>
      </c>
      <c r="AF139">
        <v>142.25</v>
      </c>
      <c r="AG139" t="str">
        <f>_xlfn.IFNA(_xlfn.IFS(AF139&gt;Dash!$H$46, "Big", AF139&lt;Dash!$H$49, "Small", AF139&gt;Dash!$H$47, "Good"), "Norm")</f>
        <v>Norm</v>
      </c>
      <c r="AH139">
        <v>24.75</v>
      </c>
      <c r="AI139" t="str">
        <f>_xlfn.IFNA(_xlfn.IFS(AH139&gt;Dash!$I$46, "Big", AH139&lt;Dash!$I$49, "Small", AH139&gt;Dash!$I$47, "Good"), "Norm")</f>
        <v>Norm</v>
      </c>
    </row>
    <row r="140" spans="1:35" x14ac:dyDescent="0.25">
      <c r="A140" s="1">
        <v>45371</v>
      </c>
      <c r="B140" t="s">
        <v>18</v>
      </c>
      <c r="C140" t="s">
        <v>13</v>
      </c>
      <c r="D140" t="s">
        <v>14</v>
      </c>
      <c r="E140">
        <v>253</v>
      </c>
      <c r="F140">
        <v>600</v>
      </c>
      <c r="G140">
        <v>900</v>
      </c>
      <c r="J140" t="s">
        <v>30</v>
      </c>
      <c r="K140" t="s">
        <v>31</v>
      </c>
      <c r="L140" t="s">
        <v>44</v>
      </c>
      <c r="M140" t="s">
        <v>18</v>
      </c>
      <c r="N140">
        <v>8</v>
      </c>
      <c r="R140" t="s">
        <v>24</v>
      </c>
      <c r="S140" t="s">
        <v>28</v>
      </c>
      <c r="T140">
        <v>156.5</v>
      </c>
      <c r="U140" t="str">
        <f>_xlfn.IFNA(_xlfn.IFS(E140&gt;Dash!$D$46, "Big", E140&lt;Dash!$D$49, "Small", E140&gt;Dash!$D$47, "Good"), "Norm")</f>
        <v>Good</v>
      </c>
      <c r="V140" t="s">
        <v>33</v>
      </c>
      <c r="W140">
        <v>236</v>
      </c>
      <c r="X140" t="s">
        <v>46</v>
      </c>
      <c r="Y140" s="1">
        <v>45371</v>
      </c>
      <c r="Z140">
        <v>57</v>
      </c>
      <c r="AA140" t="str">
        <f>_xlfn.IFNA(_xlfn.IFS(Z140&gt;Dash!$E$46, "Big", Z140&lt;Dash!$E$49, "Small", Z140&gt;Dash!$E$47, "Good"), "Norm")</f>
        <v>Norm</v>
      </c>
      <c r="AB140">
        <v>97.25</v>
      </c>
      <c r="AC140" t="str">
        <f>_xlfn.IFNA(_xlfn.IFS(AB140&gt;Dash!$F$46, "Big", AB140&lt;Dash!$F$49, "Small", AB140&gt;Dash!$F$47, "Good"), "Norm")</f>
        <v>Good</v>
      </c>
      <c r="AD140">
        <v>88.75</v>
      </c>
      <c r="AE140" t="str">
        <f>_xlfn.IFNA(_xlfn.IFS(AD140&gt;Dash!$G$46, "Big", AD140&lt;Dash!$G$49, "Small", AD140&gt;Dash!$G$47, "Good"), "Norm")</f>
        <v>Small</v>
      </c>
      <c r="AF140">
        <v>253</v>
      </c>
      <c r="AG140" t="str">
        <f>_xlfn.IFNA(_xlfn.IFS(AF140&gt;Dash!$H$46, "Big", AF140&lt;Dash!$H$49, "Small", AF140&gt;Dash!$H$47, "Good"), "Norm")</f>
        <v>Big</v>
      </c>
      <c r="AH140">
        <v>74.5</v>
      </c>
      <c r="AI140" t="str">
        <f>_xlfn.IFNA(_xlfn.IFS(AH140&gt;Dash!$I$46, "Big", AH140&lt;Dash!$I$49, "Small", AH140&gt;Dash!$I$47, "Good"), "Norm")</f>
        <v>Good</v>
      </c>
    </row>
    <row r="141" spans="1:35" x14ac:dyDescent="0.25">
      <c r="A141" s="1">
        <v>45372</v>
      </c>
      <c r="B141" t="s">
        <v>36</v>
      </c>
      <c r="C141" t="s">
        <v>24</v>
      </c>
      <c r="D141" t="s">
        <v>28</v>
      </c>
      <c r="E141">
        <v>156.5</v>
      </c>
      <c r="F141">
        <v>1800</v>
      </c>
      <c r="J141" t="s">
        <v>29</v>
      </c>
      <c r="K141" t="s">
        <v>31</v>
      </c>
      <c r="L141" t="s">
        <v>35</v>
      </c>
      <c r="M141" t="s">
        <v>18</v>
      </c>
      <c r="N141">
        <v>8</v>
      </c>
      <c r="R141" t="s">
        <v>33</v>
      </c>
      <c r="S141" t="s">
        <v>46</v>
      </c>
      <c r="T141">
        <v>134</v>
      </c>
      <c r="U141" t="str">
        <f>_xlfn.IFNA(_xlfn.IFS(E141&gt;Dash!$D$46, "Big", E141&lt;Dash!$D$49, "Small", E141&gt;Dash!$D$47, "Good"), "Norm")</f>
        <v>Small</v>
      </c>
      <c r="V141" t="s">
        <v>13</v>
      </c>
      <c r="W141">
        <v>253</v>
      </c>
      <c r="X141" t="s">
        <v>14</v>
      </c>
      <c r="Y141" s="1">
        <v>45372</v>
      </c>
      <c r="Z141">
        <v>88</v>
      </c>
      <c r="AA141" t="str">
        <f>_xlfn.IFNA(_xlfn.IFS(Z141&gt;Dash!$E$46, "Big", Z141&lt;Dash!$E$49, "Small", Z141&gt;Dash!$E$47, "Good"), "Norm")</f>
        <v>Good</v>
      </c>
      <c r="AB141">
        <v>78</v>
      </c>
      <c r="AC141" t="str">
        <f>_xlfn.IFNA(_xlfn.IFS(AB141&gt;Dash!$F$46, "Big", AB141&lt;Dash!$F$49, "Small", AB141&gt;Dash!$F$47, "Good"), "Norm")</f>
        <v>Norm</v>
      </c>
      <c r="AD141">
        <v>91.5</v>
      </c>
      <c r="AE141" t="str">
        <f>_xlfn.IFNA(_xlfn.IFS(AD141&gt;Dash!$G$46, "Big", AD141&lt;Dash!$G$49, "Small", AD141&gt;Dash!$G$47, "Good"), "Norm")</f>
        <v>Small</v>
      </c>
      <c r="AF141">
        <v>155</v>
      </c>
      <c r="AG141" t="str">
        <f>_xlfn.IFNA(_xlfn.IFS(AF141&gt;Dash!$H$46, "Big", AF141&lt;Dash!$H$49, "Small", AF141&gt;Dash!$H$47, "Good"), "Norm")</f>
        <v>Good</v>
      </c>
      <c r="AH141">
        <v>29.75</v>
      </c>
      <c r="AI141" t="str">
        <f>_xlfn.IFNA(_xlfn.IFS(AH141&gt;Dash!$I$46, "Big", AH141&lt;Dash!$I$49, "Small", AH141&gt;Dash!$I$47, "Good"), "Norm")</f>
        <v>Norm</v>
      </c>
    </row>
    <row r="142" spans="1:35" x14ac:dyDescent="0.25">
      <c r="A142" s="1">
        <v>45373</v>
      </c>
      <c r="B142" t="s">
        <v>26</v>
      </c>
      <c r="C142" t="s">
        <v>33</v>
      </c>
      <c r="D142" t="s">
        <v>46</v>
      </c>
      <c r="E142">
        <v>134</v>
      </c>
      <c r="F142">
        <v>700</v>
      </c>
      <c r="G142">
        <v>800</v>
      </c>
      <c r="J142" t="s">
        <v>15</v>
      </c>
      <c r="K142" t="s">
        <v>25</v>
      </c>
      <c r="L142" t="s">
        <v>32</v>
      </c>
      <c r="M142" t="s">
        <v>18</v>
      </c>
      <c r="N142">
        <v>8</v>
      </c>
      <c r="R142" t="s">
        <v>24</v>
      </c>
      <c r="S142" t="s">
        <v>46</v>
      </c>
      <c r="T142">
        <v>157</v>
      </c>
      <c r="U142" t="str">
        <f>_xlfn.IFNA(_xlfn.IFS(E142&gt;Dash!$D$46, "Big", E142&lt;Dash!$D$49, "Small", E142&gt;Dash!$D$47, "Good"), "Norm")</f>
        <v>Small</v>
      </c>
      <c r="V142" t="s">
        <v>24</v>
      </c>
      <c r="W142">
        <v>156.5</v>
      </c>
      <c r="X142" t="s">
        <v>28</v>
      </c>
      <c r="Y142" s="1">
        <v>45373</v>
      </c>
      <c r="Z142">
        <v>63.25</v>
      </c>
      <c r="AA142" t="str">
        <f>_xlfn.IFNA(_xlfn.IFS(Z142&gt;Dash!$E$46, "Big", Z142&lt;Dash!$E$49, "Small", Z142&gt;Dash!$E$47, "Good"), "Norm")</f>
        <v>Norm</v>
      </c>
      <c r="AB142">
        <v>102</v>
      </c>
      <c r="AC142" t="str">
        <f>_xlfn.IFNA(_xlfn.IFS(AB142&gt;Dash!$F$46, "Big", AB142&lt;Dash!$F$49, "Small", AB142&gt;Dash!$F$47, "Good"), "Norm")</f>
        <v>Good</v>
      </c>
      <c r="AD142">
        <v>73</v>
      </c>
      <c r="AE142" t="str">
        <f>_xlfn.IFNA(_xlfn.IFS(AD142&gt;Dash!$G$46, "Big", AD142&lt;Dash!$G$49, "Small", AD142&gt;Dash!$G$47, "Good"), "Norm")</f>
        <v>Small</v>
      </c>
      <c r="AF142">
        <v>97.5</v>
      </c>
      <c r="AG142" t="str">
        <f>_xlfn.IFNA(_xlfn.IFS(AF142&gt;Dash!$H$46, "Big", AF142&lt;Dash!$H$49, "Small", AF142&gt;Dash!$H$47, "Good"), "Norm")</f>
        <v>Norm</v>
      </c>
      <c r="AH142">
        <v>22</v>
      </c>
      <c r="AI142" t="str">
        <f>_xlfn.IFNA(_xlfn.IFS(AH142&gt;Dash!$I$46, "Big", AH142&lt;Dash!$I$49, "Small", AH142&gt;Dash!$I$47, "Good"), "Norm")</f>
        <v>Norm</v>
      </c>
    </row>
    <row r="143" spans="1:35" x14ac:dyDescent="0.25">
      <c r="A143" s="1">
        <v>45376</v>
      </c>
      <c r="B143" t="s">
        <v>23</v>
      </c>
      <c r="C143" t="s">
        <v>24</v>
      </c>
      <c r="D143" t="s">
        <v>46</v>
      </c>
      <c r="E143">
        <v>157</v>
      </c>
      <c r="F143">
        <v>700</v>
      </c>
      <c r="G143">
        <v>1000</v>
      </c>
      <c r="J143" t="s">
        <v>15</v>
      </c>
      <c r="K143" t="s">
        <v>16</v>
      </c>
      <c r="L143" t="s">
        <v>25</v>
      </c>
      <c r="M143" t="s">
        <v>19</v>
      </c>
      <c r="N143">
        <v>6</v>
      </c>
      <c r="R143" t="s">
        <v>20</v>
      </c>
      <c r="S143" t="s">
        <v>43</v>
      </c>
      <c r="T143">
        <v>177.5</v>
      </c>
      <c r="U143" t="str">
        <f>_xlfn.IFNA(_xlfn.IFS(E143&gt;Dash!$D$46, "Big", E143&lt;Dash!$D$49, "Small", E143&gt;Dash!$D$47, "Good"), "Norm")</f>
        <v>Norm</v>
      </c>
      <c r="V143" t="s">
        <v>33</v>
      </c>
      <c r="W143">
        <v>134</v>
      </c>
      <c r="X143" t="s">
        <v>46</v>
      </c>
      <c r="Y143" s="1">
        <v>45376</v>
      </c>
      <c r="Z143">
        <v>49.25</v>
      </c>
      <c r="AA143" t="str">
        <f>_xlfn.IFNA(_xlfn.IFS(Z143&gt;Dash!$E$46, "Big", Z143&lt;Dash!$E$49, "Small", Z143&gt;Dash!$E$47, "Good"), "Norm")</f>
        <v>Norm</v>
      </c>
      <c r="AB143">
        <v>108.5</v>
      </c>
      <c r="AC143" t="str">
        <f>_xlfn.IFNA(_xlfn.IFS(AB143&gt;Dash!$F$46, "Big", AB143&lt;Dash!$F$49, "Small", AB143&gt;Dash!$F$47, "Good"), "Norm")</f>
        <v>Good</v>
      </c>
      <c r="AD143">
        <v>138.75</v>
      </c>
      <c r="AE143" t="str">
        <f>_xlfn.IFNA(_xlfn.IFS(AD143&gt;Dash!$G$46, "Big", AD143&lt;Dash!$G$49, "Small", AD143&gt;Dash!$G$47, "Good"), "Norm")</f>
        <v>Norm</v>
      </c>
      <c r="AF143">
        <v>64.25</v>
      </c>
      <c r="AG143" t="str">
        <f>_xlfn.IFNA(_xlfn.IFS(AF143&gt;Dash!$H$46, "Big", AF143&lt;Dash!$H$49, "Small", AF143&gt;Dash!$H$47, "Good"), "Norm")</f>
        <v>Small</v>
      </c>
      <c r="AH143">
        <v>26.5</v>
      </c>
      <c r="AI143" t="str">
        <f>_xlfn.IFNA(_xlfn.IFS(AH143&gt;Dash!$I$46, "Big", AH143&lt;Dash!$I$49, "Small", AH143&gt;Dash!$I$47, "Good"), "Norm")</f>
        <v>Norm</v>
      </c>
    </row>
    <row r="144" spans="1:35" x14ac:dyDescent="0.25">
      <c r="A144" s="1">
        <v>45377</v>
      </c>
      <c r="B144" t="s">
        <v>19</v>
      </c>
      <c r="C144" t="s">
        <v>20</v>
      </c>
      <c r="D144" t="s">
        <v>43</v>
      </c>
      <c r="E144">
        <v>177.5</v>
      </c>
      <c r="F144">
        <v>300</v>
      </c>
      <c r="G144">
        <v>300</v>
      </c>
      <c r="J144" t="s">
        <v>30</v>
      </c>
      <c r="K144" t="s">
        <v>22</v>
      </c>
      <c r="L144" t="s">
        <v>17</v>
      </c>
      <c r="M144" t="s">
        <v>19</v>
      </c>
      <c r="N144">
        <v>6</v>
      </c>
      <c r="R144" t="s">
        <v>33</v>
      </c>
      <c r="S144" t="s">
        <v>46</v>
      </c>
      <c r="T144">
        <v>193.25</v>
      </c>
      <c r="U144" t="str">
        <f>_xlfn.IFNA(_xlfn.IFS(E144&gt;Dash!$D$46, "Big", E144&lt;Dash!$D$49, "Small", E144&gt;Dash!$D$47, "Good"), "Norm")</f>
        <v>Norm</v>
      </c>
      <c r="V144" t="s">
        <v>24</v>
      </c>
      <c r="W144">
        <v>157</v>
      </c>
      <c r="X144" t="s">
        <v>46</v>
      </c>
      <c r="Y144" s="1">
        <v>45377</v>
      </c>
      <c r="Z144">
        <v>39.25</v>
      </c>
      <c r="AA144" t="str">
        <f>_xlfn.IFNA(_xlfn.IFS(Z144&gt;Dash!$E$46, "Big", Z144&lt;Dash!$E$49, "Small", Z144&gt;Dash!$E$47, "Good"), "Norm")</f>
        <v>Small</v>
      </c>
      <c r="AB144">
        <v>79.25</v>
      </c>
      <c r="AC144" t="str">
        <f>_xlfn.IFNA(_xlfn.IFS(AB144&gt;Dash!$F$46, "Big", AB144&lt;Dash!$F$49, "Small", AB144&gt;Dash!$F$47, "Good"), "Norm")</f>
        <v>Norm</v>
      </c>
      <c r="AD144">
        <v>82.75</v>
      </c>
      <c r="AE144" t="str">
        <f>_xlfn.IFNA(_xlfn.IFS(AD144&gt;Dash!$G$46, "Big", AD144&lt;Dash!$G$49, "Small", AD144&gt;Dash!$G$47, "Good"), "Norm")</f>
        <v>Small</v>
      </c>
      <c r="AF144">
        <v>149.5</v>
      </c>
      <c r="AG144" t="str">
        <f>_xlfn.IFNA(_xlfn.IFS(AF144&gt;Dash!$H$46, "Big", AF144&lt;Dash!$H$49, "Small", AF144&gt;Dash!$H$47, "Good"), "Norm")</f>
        <v>Norm</v>
      </c>
      <c r="AH144">
        <v>37</v>
      </c>
      <c r="AI144" t="str">
        <f>_xlfn.IFNA(_xlfn.IFS(AH144&gt;Dash!$I$46, "Big", AH144&lt;Dash!$I$49, "Small", AH144&gt;Dash!$I$47, "Good"), "Norm")</f>
        <v>Norm</v>
      </c>
    </row>
    <row r="145" spans="1:35" x14ac:dyDescent="0.25">
      <c r="A145" s="1">
        <v>45378</v>
      </c>
      <c r="B145" t="s">
        <v>18</v>
      </c>
      <c r="C145" t="s">
        <v>33</v>
      </c>
      <c r="D145" t="s">
        <v>46</v>
      </c>
      <c r="E145">
        <v>193.25</v>
      </c>
      <c r="F145">
        <v>1000</v>
      </c>
      <c r="G145">
        <v>1200</v>
      </c>
      <c r="J145" t="s">
        <v>45</v>
      </c>
      <c r="K145" t="s">
        <v>35</v>
      </c>
      <c r="L145" t="s">
        <v>25</v>
      </c>
      <c r="M145" t="s">
        <v>19</v>
      </c>
      <c r="N145">
        <v>6</v>
      </c>
      <c r="R145" t="s">
        <v>33</v>
      </c>
      <c r="S145">
        <v>1</v>
      </c>
      <c r="T145">
        <v>90</v>
      </c>
      <c r="U145" t="str">
        <f>_xlfn.IFNA(_xlfn.IFS(E145&gt;Dash!$D$46, "Big", E145&lt;Dash!$D$49, "Small", E145&gt;Dash!$D$47, "Good"), "Norm")</f>
        <v>Norm</v>
      </c>
      <c r="V145" t="s">
        <v>20</v>
      </c>
      <c r="W145">
        <v>177.5</v>
      </c>
      <c r="X145" t="s">
        <v>43</v>
      </c>
      <c r="Y145" s="1">
        <v>45378</v>
      </c>
      <c r="Z145">
        <v>56</v>
      </c>
      <c r="AA145" t="str">
        <f>_xlfn.IFNA(_xlfn.IFS(Z145&gt;Dash!$E$46, "Big", Z145&lt;Dash!$E$49, "Small", Z145&gt;Dash!$E$47, "Good"), "Norm")</f>
        <v>Norm</v>
      </c>
      <c r="AB145">
        <v>71.25</v>
      </c>
      <c r="AC145" t="str">
        <f>_xlfn.IFNA(_xlfn.IFS(AB145&gt;Dash!$F$46, "Big", AB145&lt;Dash!$F$49, "Small", AB145&gt;Dash!$F$47, "Good"), "Norm")</f>
        <v>Norm</v>
      </c>
      <c r="AD145">
        <v>193.25</v>
      </c>
      <c r="AE145" t="str">
        <f>_xlfn.IFNA(_xlfn.IFS(AD145&gt;Dash!$G$46, "Big", AD145&lt;Dash!$G$49, "Small", AD145&gt;Dash!$G$47, "Good"), "Norm")</f>
        <v>Norm</v>
      </c>
      <c r="AF145">
        <v>115.75</v>
      </c>
      <c r="AG145" t="str">
        <f>_xlfn.IFNA(_xlfn.IFS(AF145&gt;Dash!$H$46, "Big", AF145&lt;Dash!$H$49, "Small", AF145&gt;Dash!$H$47, "Good"), "Norm")</f>
        <v>Norm</v>
      </c>
      <c r="AH145">
        <v>26</v>
      </c>
      <c r="AI145" t="str">
        <f>_xlfn.IFNA(_xlfn.IFS(AH145&gt;Dash!$I$46, "Big", AH145&lt;Dash!$I$49, "Small", AH145&gt;Dash!$I$47, "Good"), "Norm")</f>
        <v>Norm</v>
      </c>
    </row>
    <row r="146" spans="1:35" x14ac:dyDescent="0.25">
      <c r="A146" s="1">
        <v>45379</v>
      </c>
      <c r="B146" t="s">
        <v>36</v>
      </c>
      <c r="C146" t="s">
        <v>33</v>
      </c>
      <c r="D146">
        <v>1</v>
      </c>
      <c r="E146">
        <v>90</v>
      </c>
      <c r="J146" t="s">
        <v>34</v>
      </c>
      <c r="K146" t="s">
        <v>35</v>
      </c>
      <c r="L146" t="s">
        <v>17</v>
      </c>
      <c r="M146" t="s">
        <v>19</v>
      </c>
      <c r="N146">
        <v>6</v>
      </c>
      <c r="R146" t="s">
        <v>13</v>
      </c>
      <c r="S146" t="s">
        <v>48</v>
      </c>
      <c r="T146">
        <v>192.5</v>
      </c>
      <c r="U146" t="str">
        <f>_xlfn.IFNA(_xlfn.IFS(E146&gt;Dash!$D$46, "Big", E146&lt;Dash!$D$49, "Small", E146&gt;Dash!$D$47, "Good"), "Norm")</f>
        <v>Small</v>
      </c>
      <c r="V146" t="s">
        <v>33</v>
      </c>
      <c r="W146">
        <v>193.25</v>
      </c>
      <c r="X146" t="s">
        <v>46</v>
      </c>
      <c r="Y146" s="1">
        <v>45379</v>
      </c>
      <c r="Z146">
        <v>34.75</v>
      </c>
      <c r="AA146" t="str">
        <f>_xlfn.IFNA(_xlfn.IFS(Z146&gt;Dash!$E$46, "Big", Z146&lt;Dash!$E$49, "Small", Z146&gt;Dash!$E$47, "Good"), "Norm")</f>
        <v>Small</v>
      </c>
      <c r="AB146">
        <v>55.5</v>
      </c>
      <c r="AC146" t="str">
        <f>_xlfn.IFNA(_xlfn.IFS(AB146&gt;Dash!$F$46, "Big", AB146&lt;Dash!$F$49, "Small", AB146&gt;Dash!$F$47, "Good"), "Norm")</f>
        <v>Small</v>
      </c>
      <c r="AD146">
        <v>81.5</v>
      </c>
      <c r="AE146" t="str">
        <f>_xlfn.IFNA(_xlfn.IFS(AD146&gt;Dash!$G$46, "Big", AD146&lt;Dash!$G$49, "Small", AD146&gt;Dash!$G$47, "Good"), "Norm")</f>
        <v>Small</v>
      </c>
      <c r="AF146">
        <v>69.25</v>
      </c>
      <c r="AG146" t="str">
        <f>_xlfn.IFNA(_xlfn.IFS(AF146&gt;Dash!$H$46, "Big", AF146&lt;Dash!$H$49, "Small", AF146&gt;Dash!$H$47, "Good"), "Norm")</f>
        <v>Small</v>
      </c>
      <c r="AH146">
        <v>28.75</v>
      </c>
      <c r="AI146" t="str">
        <f>_xlfn.IFNA(_xlfn.IFS(AH146&gt;Dash!$I$46, "Big", AH146&lt;Dash!$I$49, "Small", AH146&gt;Dash!$I$47, "Good"), "Norm")</f>
        <v>Norm</v>
      </c>
    </row>
    <row r="147" spans="1:35" x14ac:dyDescent="0.25">
      <c r="A147" s="1">
        <v>45383</v>
      </c>
      <c r="B147" t="s">
        <v>23</v>
      </c>
      <c r="C147" t="s">
        <v>13</v>
      </c>
      <c r="D147" t="s">
        <v>48</v>
      </c>
      <c r="E147">
        <v>192.5</v>
      </c>
      <c r="F147">
        <v>1800</v>
      </c>
      <c r="G147">
        <v>800</v>
      </c>
      <c r="H147">
        <v>1100</v>
      </c>
      <c r="I147">
        <v>1200</v>
      </c>
      <c r="J147" t="s">
        <v>29</v>
      </c>
      <c r="K147" t="s">
        <v>16</v>
      </c>
      <c r="L147" t="s">
        <v>17</v>
      </c>
      <c r="M147" t="s">
        <v>23</v>
      </c>
      <c r="N147">
        <v>9</v>
      </c>
      <c r="R147" t="s">
        <v>41</v>
      </c>
      <c r="S147" t="s">
        <v>14</v>
      </c>
      <c r="T147">
        <v>213</v>
      </c>
      <c r="U147" t="str">
        <f>_xlfn.IFNA(_xlfn.IFS(E147&gt;Dash!$D$46, "Big", E147&lt;Dash!$D$49, "Small", E147&gt;Dash!$D$47, "Good"), "Norm")</f>
        <v>Norm</v>
      </c>
      <c r="V147" t="s">
        <v>33</v>
      </c>
      <c r="W147">
        <v>90</v>
      </c>
      <c r="X147">
        <v>1</v>
      </c>
      <c r="Y147" s="1">
        <v>45383</v>
      </c>
      <c r="Z147">
        <v>111.5</v>
      </c>
      <c r="AA147" t="str">
        <f>_xlfn.IFNA(_xlfn.IFS(Z147&gt;Dash!$E$46, "Big", Z147&lt;Dash!$E$49, "Small", Z147&gt;Dash!$E$47, "Good"), "Norm")</f>
        <v>Good</v>
      </c>
      <c r="AB147">
        <v>74.75</v>
      </c>
      <c r="AC147" t="str">
        <f>_xlfn.IFNA(_xlfn.IFS(AB147&gt;Dash!$F$46, "Big", AB147&lt;Dash!$F$49, "Small", AB147&gt;Dash!$F$47, "Good"), "Norm")</f>
        <v>Norm</v>
      </c>
      <c r="AD147">
        <v>186.75</v>
      </c>
      <c r="AE147" t="str">
        <f>_xlfn.IFNA(_xlfn.IFS(AD147&gt;Dash!$G$46, "Big", AD147&lt;Dash!$G$49, "Small", AD147&gt;Dash!$G$47, "Good"), "Norm")</f>
        <v>Norm</v>
      </c>
      <c r="AF147">
        <v>99.75</v>
      </c>
      <c r="AG147" t="str">
        <f>_xlfn.IFNA(_xlfn.IFS(AF147&gt;Dash!$H$46, "Big", AF147&lt;Dash!$H$49, "Small", AF147&gt;Dash!$H$47, "Good"), "Norm")</f>
        <v>Norm</v>
      </c>
      <c r="AH147">
        <v>16.75</v>
      </c>
      <c r="AI147" t="str">
        <f>_xlfn.IFNA(_xlfn.IFS(AH147&gt;Dash!$I$46, "Big", AH147&lt;Dash!$I$49, "Small", AH147&gt;Dash!$I$47, "Good"), "Norm")</f>
        <v>Small</v>
      </c>
    </row>
    <row r="148" spans="1:35" x14ac:dyDescent="0.25">
      <c r="A148" s="1">
        <v>45384</v>
      </c>
      <c r="B148" t="s">
        <v>19</v>
      </c>
      <c r="C148" t="s">
        <v>41</v>
      </c>
      <c r="D148" t="s">
        <v>14</v>
      </c>
      <c r="E148">
        <v>213</v>
      </c>
      <c r="F148">
        <v>700</v>
      </c>
      <c r="J148" t="s">
        <v>15</v>
      </c>
      <c r="K148" t="s">
        <v>22</v>
      </c>
      <c r="L148" t="s">
        <v>25</v>
      </c>
      <c r="M148" t="s">
        <v>23</v>
      </c>
      <c r="N148">
        <v>9</v>
      </c>
      <c r="R148" t="s">
        <v>33</v>
      </c>
      <c r="S148">
        <v>1</v>
      </c>
      <c r="T148">
        <v>219.25</v>
      </c>
      <c r="U148" t="str">
        <f>_xlfn.IFNA(_xlfn.IFS(E148&gt;Dash!$D$46, "Big", E148&lt;Dash!$D$49, "Small", E148&gt;Dash!$D$47, "Good"), "Norm")</f>
        <v>Norm</v>
      </c>
      <c r="V148" t="s">
        <v>13</v>
      </c>
      <c r="W148">
        <v>192.5</v>
      </c>
      <c r="X148" t="s">
        <v>48</v>
      </c>
      <c r="Y148" s="1">
        <v>45384</v>
      </c>
      <c r="Z148">
        <v>43</v>
      </c>
      <c r="AA148" t="str">
        <f>_xlfn.IFNA(_xlfn.IFS(Z148&gt;Dash!$E$46, "Big", Z148&lt;Dash!$E$49, "Small", Z148&gt;Dash!$E$47, "Good"), "Norm")</f>
        <v>Norm</v>
      </c>
      <c r="AB148">
        <v>111.75</v>
      </c>
      <c r="AC148" t="str">
        <f>_xlfn.IFNA(_xlfn.IFS(AB148&gt;Dash!$F$46, "Big", AB148&lt;Dash!$F$49, "Small", AB148&gt;Dash!$F$47, "Good"), "Norm")</f>
        <v>Good</v>
      </c>
      <c r="AD148">
        <v>213</v>
      </c>
      <c r="AE148" t="str">
        <f>_xlfn.IFNA(_xlfn.IFS(AD148&gt;Dash!$G$46, "Big", AD148&lt;Dash!$G$49, "Small", AD148&gt;Dash!$G$47, "Good"), "Norm")</f>
        <v>Good</v>
      </c>
      <c r="AF148">
        <v>115.75</v>
      </c>
      <c r="AG148" t="str">
        <f>_xlfn.IFNA(_xlfn.IFS(AF148&gt;Dash!$H$46, "Big", AF148&lt;Dash!$H$49, "Small", AF148&gt;Dash!$H$47, "Good"), "Norm")</f>
        <v>Norm</v>
      </c>
      <c r="AH148">
        <v>20.5</v>
      </c>
      <c r="AI148" t="str">
        <f>_xlfn.IFNA(_xlfn.IFS(AH148&gt;Dash!$I$46, "Big", AH148&lt;Dash!$I$49, "Small", AH148&gt;Dash!$I$47, "Good"), "Norm")</f>
        <v>Small</v>
      </c>
    </row>
    <row r="149" spans="1:35" x14ac:dyDescent="0.25">
      <c r="A149" s="1">
        <v>45385</v>
      </c>
      <c r="B149" t="s">
        <v>18</v>
      </c>
      <c r="C149" t="s">
        <v>33</v>
      </c>
      <c r="D149">
        <v>1</v>
      </c>
      <c r="E149">
        <v>219.25</v>
      </c>
      <c r="J149" t="s">
        <v>34</v>
      </c>
      <c r="K149" t="s">
        <v>25</v>
      </c>
      <c r="L149" t="s">
        <v>35</v>
      </c>
      <c r="M149" t="s">
        <v>23</v>
      </c>
      <c r="N149">
        <v>9</v>
      </c>
      <c r="R149" t="s">
        <v>33</v>
      </c>
      <c r="S149" t="s">
        <v>48</v>
      </c>
      <c r="T149">
        <v>498.75</v>
      </c>
      <c r="U149" t="str">
        <f>_xlfn.IFNA(_xlfn.IFS(E149&gt;Dash!$D$46, "Big", E149&lt;Dash!$D$49, "Small", E149&gt;Dash!$D$47, "Good"), "Norm")</f>
        <v>Norm</v>
      </c>
      <c r="V149" t="s">
        <v>41</v>
      </c>
      <c r="W149">
        <v>213</v>
      </c>
      <c r="X149" t="s">
        <v>14</v>
      </c>
      <c r="Y149" s="1">
        <v>45385</v>
      </c>
      <c r="Z149">
        <v>72.75</v>
      </c>
      <c r="AA149" t="str">
        <f>_xlfn.IFNA(_xlfn.IFS(Z149&gt;Dash!$E$46, "Big", Z149&lt;Dash!$E$49, "Small", Z149&gt;Dash!$E$47, "Good"), "Norm")</f>
        <v>Norm</v>
      </c>
      <c r="AB149">
        <v>57.75</v>
      </c>
      <c r="AC149" t="str">
        <f>_xlfn.IFNA(_xlfn.IFS(AB149&gt;Dash!$F$46, "Big", AB149&lt;Dash!$F$49, "Small", AB149&gt;Dash!$F$47, "Good"), "Norm")</f>
        <v>Norm</v>
      </c>
      <c r="AD149">
        <v>219.25</v>
      </c>
      <c r="AE149" t="str">
        <f>_xlfn.IFNA(_xlfn.IFS(AD149&gt;Dash!$G$46, "Big", AD149&lt;Dash!$G$49, "Small", AD149&gt;Dash!$G$47, "Good"), "Norm")</f>
        <v>Good</v>
      </c>
      <c r="AF149">
        <v>136.5</v>
      </c>
      <c r="AG149" t="str">
        <f>_xlfn.IFNA(_xlfn.IFS(AF149&gt;Dash!$H$46, "Big", AF149&lt;Dash!$H$49, "Small", AF149&gt;Dash!$H$47, "Good"), "Norm")</f>
        <v>Norm</v>
      </c>
      <c r="AH149">
        <v>31.25</v>
      </c>
      <c r="AI149" t="str">
        <f>_xlfn.IFNA(_xlfn.IFS(AH149&gt;Dash!$I$46, "Big", AH149&lt;Dash!$I$49, "Small", AH149&gt;Dash!$I$47, "Good"), "Norm")</f>
        <v>Norm</v>
      </c>
    </row>
    <row r="150" spans="1:35" x14ac:dyDescent="0.25">
      <c r="A150" s="1">
        <v>45386</v>
      </c>
      <c r="B150" t="s">
        <v>36</v>
      </c>
      <c r="C150" t="s">
        <v>33</v>
      </c>
      <c r="D150" t="s">
        <v>48</v>
      </c>
      <c r="E150">
        <v>498.75</v>
      </c>
      <c r="F150">
        <v>1900</v>
      </c>
      <c r="G150">
        <v>1900</v>
      </c>
      <c r="J150" t="s">
        <v>29</v>
      </c>
      <c r="K150" t="s">
        <v>35</v>
      </c>
      <c r="L150" t="s">
        <v>17</v>
      </c>
      <c r="M150" t="s">
        <v>23</v>
      </c>
      <c r="N150">
        <v>9</v>
      </c>
      <c r="R150" t="s">
        <v>33</v>
      </c>
      <c r="S150" t="s">
        <v>46</v>
      </c>
      <c r="T150">
        <v>356.75</v>
      </c>
      <c r="U150" t="str">
        <f>_xlfn.IFNA(_xlfn.IFS(E150&gt;Dash!$D$46, "Big", E150&lt;Dash!$D$49, "Small", E150&gt;Dash!$D$47, "Good"), "Norm")</f>
        <v>Big</v>
      </c>
      <c r="V150" t="s">
        <v>33</v>
      </c>
      <c r="W150">
        <v>219.25</v>
      </c>
      <c r="X150">
        <v>1</v>
      </c>
      <c r="Y150" s="1">
        <v>45386</v>
      </c>
      <c r="Z150">
        <v>107</v>
      </c>
      <c r="AA150" t="str">
        <f>_xlfn.IFNA(_xlfn.IFS(Z150&gt;Dash!$E$46, "Big", Z150&lt;Dash!$E$49, "Small", Z150&gt;Dash!$E$47, "Good"), "Norm")</f>
        <v>Good</v>
      </c>
      <c r="AB150">
        <v>53.25</v>
      </c>
      <c r="AC150" t="str">
        <f>_xlfn.IFNA(_xlfn.IFS(AB150&gt;Dash!$F$46, "Big", AB150&lt;Dash!$F$49, "Small", AB150&gt;Dash!$F$47, "Good"), "Norm")</f>
        <v>Small</v>
      </c>
      <c r="AD150">
        <v>125.75</v>
      </c>
      <c r="AE150" t="str">
        <f>_xlfn.IFNA(_xlfn.IFS(AD150&gt;Dash!$G$46, "Big", AD150&lt;Dash!$G$49, "Small", AD150&gt;Dash!$G$47, "Good"), "Norm")</f>
        <v>Norm</v>
      </c>
      <c r="AF150">
        <v>497.5</v>
      </c>
      <c r="AG150" t="str">
        <f>_xlfn.IFNA(_xlfn.IFS(AF150&gt;Dash!$H$46, "Big", AF150&lt;Dash!$H$49, "Small", AF150&gt;Dash!$H$47, "Good"), "Norm")</f>
        <v>Big</v>
      </c>
      <c r="AH150">
        <v>44.75</v>
      </c>
      <c r="AI150" t="str">
        <f>_xlfn.IFNA(_xlfn.IFS(AH150&gt;Dash!$I$46, "Big", AH150&lt;Dash!$I$49, "Small", AH150&gt;Dash!$I$47, "Good"), "Norm")</f>
        <v>Good</v>
      </c>
    </row>
    <row r="151" spans="1:35" x14ac:dyDescent="0.25">
      <c r="A151" s="1">
        <v>45387</v>
      </c>
      <c r="B151" t="s">
        <v>26</v>
      </c>
      <c r="C151" t="s">
        <v>33</v>
      </c>
      <c r="D151" t="s">
        <v>46</v>
      </c>
      <c r="E151">
        <v>356.75</v>
      </c>
      <c r="F151">
        <v>2000</v>
      </c>
      <c r="G151">
        <v>2000</v>
      </c>
      <c r="J151" t="s">
        <v>37</v>
      </c>
      <c r="K151" t="s">
        <v>25</v>
      </c>
      <c r="L151" t="s">
        <v>32</v>
      </c>
      <c r="M151" t="s">
        <v>23</v>
      </c>
      <c r="N151">
        <v>9</v>
      </c>
      <c r="R151" t="s">
        <v>33</v>
      </c>
      <c r="S151">
        <v>1</v>
      </c>
      <c r="T151">
        <v>138.5</v>
      </c>
      <c r="U151" t="str">
        <f>_xlfn.IFNA(_xlfn.IFS(E151&gt;Dash!$D$46, "Big", E151&lt;Dash!$D$49, "Small", E151&gt;Dash!$D$47, "Good"), "Norm")</f>
        <v>Good</v>
      </c>
      <c r="V151" t="s">
        <v>33</v>
      </c>
      <c r="W151">
        <v>498.75</v>
      </c>
      <c r="X151" t="s">
        <v>48</v>
      </c>
      <c r="Y151" s="1">
        <v>45387</v>
      </c>
      <c r="Z151">
        <v>72.5</v>
      </c>
      <c r="AA151" t="str">
        <f>_xlfn.IFNA(_xlfn.IFS(Z151&gt;Dash!$E$46, "Big", Z151&lt;Dash!$E$49, "Small", Z151&gt;Dash!$E$47, "Good"), "Norm")</f>
        <v>Norm</v>
      </c>
      <c r="AB151">
        <v>64.5</v>
      </c>
      <c r="AC151" t="str">
        <f>_xlfn.IFNA(_xlfn.IFS(AB151&gt;Dash!$F$46, "Big", AB151&lt;Dash!$F$49, "Small", AB151&gt;Dash!$F$47, "Good"), "Norm")</f>
        <v>Norm</v>
      </c>
      <c r="AD151">
        <v>315.25</v>
      </c>
      <c r="AE151" t="str">
        <f>_xlfn.IFNA(_xlfn.IFS(AD151&gt;Dash!$G$46, "Big", AD151&lt;Dash!$G$49, "Small", AD151&gt;Dash!$G$47, "Good"), "Norm")</f>
        <v>Good</v>
      </c>
      <c r="AF151">
        <v>157</v>
      </c>
      <c r="AG151" t="str">
        <f>_xlfn.IFNA(_xlfn.IFS(AF151&gt;Dash!$H$46, "Big", AF151&lt;Dash!$H$49, "Small", AF151&gt;Dash!$H$47, "Good"), "Norm")</f>
        <v>Good</v>
      </c>
      <c r="AH151">
        <v>29.25</v>
      </c>
      <c r="AI151" t="str">
        <f>_xlfn.IFNA(_xlfn.IFS(AH151&gt;Dash!$I$46, "Big", AH151&lt;Dash!$I$49, "Small", AH151&gt;Dash!$I$47, "Good"), "Norm")</f>
        <v>Norm</v>
      </c>
    </row>
    <row r="152" spans="1:35" x14ac:dyDescent="0.25">
      <c r="A152" s="1">
        <v>45390</v>
      </c>
      <c r="B152" t="s">
        <v>23</v>
      </c>
      <c r="C152" t="s">
        <v>33</v>
      </c>
      <c r="D152">
        <v>1</v>
      </c>
      <c r="E152">
        <v>138.5</v>
      </c>
      <c r="J152" t="s">
        <v>34</v>
      </c>
      <c r="K152" t="s">
        <v>25</v>
      </c>
      <c r="L152" t="s">
        <v>35</v>
      </c>
      <c r="M152" t="s">
        <v>18</v>
      </c>
      <c r="N152">
        <v>9</v>
      </c>
      <c r="R152" t="s">
        <v>33</v>
      </c>
      <c r="S152" t="s">
        <v>53</v>
      </c>
      <c r="T152">
        <v>244.25</v>
      </c>
      <c r="U152" t="str">
        <f>_xlfn.IFNA(_xlfn.IFS(E152&gt;Dash!$D$46, "Big", E152&lt;Dash!$D$49, "Small", E152&gt;Dash!$D$47, "Good"), "Norm")</f>
        <v>Small</v>
      </c>
      <c r="V152" t="s">
        <v>33</v>
      </c>
      <c r="W152">
        <v>356.75</v>
      </c>
      <c r="X152" t="s">
        <v>46</v>
      </c>
      <c r="Y152" s="1">
        <v>45390</v>
      </c>
      <c r="Z152">
        <v>102</v>
      </c>
      <c r="AA152" t="str">
        <f>_xlfn.IFNA(_xlfn.IFS(Z152&gt;Dash!$E$46, "Big", Z152&lt;Dash!$E$49, "Small", Z152&gt;Dash!$E$47, "Good"), "Norm")</f>
        <v>Good</v>
      </c>
      <c r="AB152">
        <v>98.25</v>
      </c>
      <c r="AC152" t="str">
        <f>_xlfn.IFNA(_xlfn.IFS(AB152&gt;Dash!$F$46, "Big", AB152&lt;Dash!$F$49, "Small", AB152&gt;Dash!$F$47, "Good"), "Norm")</f>
        <v>Good</v>
      </c>
      <c r="AD152">
        <v>138.5</v>
      </c>
      <c r="AE152" t="str">
        <f>_xlfn.IFNA(_xlfn.IFS(AD152&gt;Dash!$G$46, "Big", AD152&lt;Dash!$G$49, "Small", AD152&gt;Dash!$G$47, "Good"), "Norm")</f>
        <v>Norm</v>
      </c>
      <c r="AF152">
        <v>80</v>
      </c>
      <c r="AG152" t="str">
        <f>_xlfn.IFNA(_xlfn.IFS(AF152&gt;Dash!$H$46, "Big", AF152&lt;Dash!$H$49, "Small", AF152&gt;Dash!$H$47, "Good"), "Norm")</f>
        <v>Small</v>
      </c>
      <c r="AH152">
        <v>20.75</v>
      </c>
      <c r="AI152" t="str">
        <f>_xlfn.IFNA(_xlfn.IFS(AH152&gt;Dash!$I$46, "Big", AH152&lt;Dash!$I$49, "Small", AH152&gt;Dash!$I$47, "Good"), "Norm")</f>
        <v>Small</v>
      </c>
    </row>
    <row r="153" spans="1:35" x14ac:dyDescent="0.25">
      <c r="A153" s="1">
        <v>45391</v>
      </c>
      <c r="B153" t="s">
        <v>19</v>
      </c>
      <c r="C153" t="s">
        <v>33</v>
      </c>
      <c r="D153" t="s">
        <v>53</v>
      </c>
      <c r="E153">
        <v>244.25</v>
      </c>
      <c r="F153">
        <v>900</v>
      </c>
      <c r="G153">
        <v>900</v>
      </c>
      <c r="H153">
        <v>1000</v>
      </c>
      <c r="I153">
        <v>1100</v>
      </c>
      <c r="J153" t="s">
        <v>27</v>
      </c>
      <c r="K153" t="s">
        <v>35</v>
      </c>
      <c r="L153" t="s">
        <v>25</v>
      </c>
      <c r="M153" t="s">
        <v>18</v>
      </c>
      <c r="N153">
        <v>9</v>
      </c>
      <c r="R153" t="s">
        <v>33</v>
      </c>
      <c r="S153" t="s">
        <v>48</v>
      </c>
      <c r="T153">
        <v>420.75</v>
      </c>
      <c r="U153" t="str">
        <f>_xlfn.IFNA(_xlfn.IFS(E153&gt;Dash!$D$46, "Big", E153&lt;Dash!$D$49, "Small", E153&gt;Dash!$D$47, "Good"), "Norm")</f>
        <v>Norm</v>
      </c>
      <c r="V153" t="s">
        <v>33</v>
      </c>
      <c r="W153">
        <v>138.5</v>
      </c>
      <c r="X153">
        <v>1</v>
      </c>
      <c r="Y153" s="1">
        <v>45391</v>
      </c>
      <c r="Z153">
        <v>40</v>
      </c>
      <c r="AA153" t="str">
        <f>_xlfn.IFNA(_xlfn.IFS(Z153&gt;Dash!$E$46, "Big", Z153&lt;Dash!$E$49, "Small", Z153&gt;Dash!$E$47, "Good"), "Norm")</f>
        <v>Small</v>
      </c>
      <c r="AB153">
        <v>91</v>
      </c>
      <c r="AC153" t="str">
        <f>_xlfn.IFNA(_xlfn.IFS(AB153&gt;Dash!$F$46, "Big", AB153&lt;Dash!$F$49, "Small", AB153&gt;Dash!$F$47, "Good"), "Norm")</f>
        <v>Norm</v>
      </c>
      <c r="AD153">
        <v>244.25</v>
      </c>
      <c r="AE153" t="str">
        <f>_xlfn.IFNA(_xlfn.IFS(AD153&gt;Dash!$G$46, "Big", AD153&lt;Dash!$G$49, "Small", AD153&gt;Dash!$G$47, "Good"), "Norm")</f>
        <v>Good</v>
      </c>
      <c r="AF153">
        <v>149.75</v>
      </c>
      <c r="AG153" t="str">
        <f>_xlfn.IFNA(_xlfn.IFS(AF153&gt;Dash!$H$46, "Big", AF153&lt;Dash!$H$49, "Small", AF153&gt;Dash!$H$47, "Good"), "Norm")</f>
        <v>Norm</v>
      </c>
      <c r="AH153">
        <v>47.75</v>
      </c>
      <c r="AI153" t="str">
        <f>_xlfn.IFNA(_xlfn.IFS(AH153&gt;Dash!$I$46, "Big", AH153&lt;Dash!$I$49, "Small", AH153&gt;Dash!$I$47, "Good"), "Norm")</f>
        <v>Good</v>
      </c>
    </row>
    <row r="154" spans="1:35" x14ac:dyDescent="0.25">
      <c r="A154" s="1">
        <v>45392</v>
      </c>
      <c r="B154" t="s">
        <v>18</v>
      </c>
      <c r="C154" t="s">
        <v>33</v>
      </c>
      <c r="D154" t="s">
        <v>48</v>
      </c>
      <c r="E154">
        <v>420.75</v>
      </c>
      <c r="F154">
        <v>400</v>
      </c>
      <c r="G154">
        <v>400</v>
      </c>
      <c r="H154">
        <v>800</v>
      </c>
      <c r="J154" t="s">
        <v>30</v>
      </c>
      <c r="K154" t="s">
        <v>35</v>
      </c>
      <c r="L154" t="s">
        <v>25</v>
      </c>
      <c r="M154" t="s">
        <v>18</v>
      </c>
      <c r="N154">
        <v>9</v>
      </c>
      <c r="R154" t="s">
        <v>33</v>
      </c>
      <c r="S154" t="s">
        <v>28</v>
      </c>
      <c r="T154">
        <v>430.75</v>
      </c>
      <c r="U154" t="str">
        <f>_xlfn.IFNA(_xlfn.IFS(E154&gt;Dash!$D$46, "Big", E154&lt;Dash!$D$49, "Small", E154&gt;Dash!$D$47, "Good"), "Norm")</f>
        <v>Big</v>
      </c>
      <c r="V154" t="s">
        <v>33</v>
      </c>
      <c r="W154">
        <v>244.25</v>
      </c>
      <c r="X154" t="s">
        <v>53</v>
      </c>
      <c r="Y154" s="1">
        <v>45392</v>
      </c>
      <c r="Z154">
        <v>24.75</v>
      </c>
      <c r="AA154" t="str">
        <f>_xlfn.IFNA(_xlfn.IFS(Z154&gt;Dash!$E$46, "Big", Z154&lt;Dash!$E$49, "Small", Z154&gt;Dash!$E$47, "Good"), "Norm")</f>
        <v>Small</v>
      </c>
      <c r="AB154">
        <v>70.25</v>
      </c>
      <c r="AC154" t="str">
        <f>_xlfn.IFNA(_xlfn.IFS(AB154&gt;Dash!$F$46, "Big", AB154&lt;Dash!$F$49, "Small", AB154&gt;Dash!$F$47, "Good"), "Norm")</f>
        <v>Norm</v>
      </c>
      <c r="AD154">
        <v>420.75</v>
      </c>
      <c r="AE154" t="str">
        <f>_xlfn.IFNA(_xlfn.IFS(AD154&gt;Dash!$G$46, "Big", AD154&lt;Dash!$G$49, "Small", AD154&gt;Dash!$G$47, "Good"), "Norm")</f>
        <v>Big</v>
      </c>
      <c r="AF154">
        <v>111</v>
      </c>
      <c r="AG154" t="str">
        <f>_xlfn.IFNA(_xlfn.IFS(AF154&gt;Dash!$H$46, "Big", AF154&lt;Dash!$H$49, "Small", AF154&gt;Dash!$H$47, "Good"), "Norm")</f>
        <v>Norm</v>
      </c>
      <c r="AH154">
        <v>47.75</v>
      </c>
      <c r="AI154" t="str">
        <f>_xlfn.IFNA(_xlfn.IFS(AH154&gt;Dash!$I$46, "Big", AH154&lt;Dash!$I$49, "Small", AH154&gt;Dash!$I$47, "Good"), "Norm")</f>
        <v>Good</v>
      </c>
    </row>
    <row r="155" spans="1:35" x14ac:dyDescent="0.25">
      <c r="A155" s="1">
        <v>45393</v>
      </c>
      <c r="B155" t="s">
        <v>36</v>
      </c>
      <c r="C155" t="s">
        <v>33</v>
      </c>
      <c r="D155" t="s">
        <v>28</v>
      </c>
      <c r="E155">
        <v>430.75</v>
      </c>
      <c r="F155">
        <v>1400</v>
      </c>
      <c r="J155" t="s">
        <v>49</v>
      </c>
      <c r="K155" t="s">
        <v>25</v>
      </c>
      <c r="L155" t="s">
        <v>32</v>
      </c>
      <c r="M155" t="s">
        <v>18</v>
      </c>
      <c r="N155">
        <v>9</v>
      </c>
      <c r="R155" t="s">
        <v>20</v>
      </c>
      <c r="S155">
        <v>1</v>
      </c>
      <c r="T155">
        <v>309</v>
      </c>
      <c r="U155" t="str">
        <f>_xlfn.IFNA(_xlfn.IFS(E155&gt;Dash!$D$46, "Big", E155&lt;Dash!$D$49, "Small", E155&gt;Dash!$D$47, "Good"), "Norm")</f>
        <v>Big</v>
      </c>
      <c r="V155" t="s">
        <v>33</v>
      </c>
      <c r="W155">
        <v>420.75</v>
      </c>
      <c r="X155" t="s">
        <v>48</v>
      </c>
      <c r="Y155" s="1">
        <v>45393</v>
      </c>
      <c r="Z155">
        <v>70.25</v>
      </c>
      <c r="AA155" t="str">
        <f>_xlfn.IFNA(_xlfn.IFS(Z155&gt;Dash!$E$46, "Big", Z155&lt;Dash!$E$49, "Small", Z155&gt;Dash!$E$47, "Good"), "Norm")</f>
        <v>Norm</v>
      </c>
      <c r="AB155">
        <v>105</v>
      </c>
      <c r="AC155" t="str">
        <f>_xlfn.IFNA(_xlfn.IFS(AB155&gt;Dash!$F$46, "Big", AB155&lt;Dash!$F$49, "Small", AB155&gt;Dash!$F$47, "Good"), "Norm")</f>
        <v>Good</v>
      </c>
      <c r="AD155">
        <v>234.5</v>
      </c>
      <c r="AE155" t="str">
        <f>_xlfn.IFNA(_xlfn.IFS(AD155&gt;Dash!$G$46, "Big", AD155&lt;Dash!$G$49, "Small", AD155&gt;Dash!$G$47, "Good"), "Norm")</f>
        <v>Good</v>
      </c>
      <c r="AF155">
        <v>231</v>
      </c>
      <c r="AG155" t="str">
        <f>_xlfn.IFNA(_xlfn.IFS(AF155&gt;Dash!$H$46, "Big", AF155&lt;Dash!$H$49, "Small", AF155&gt;Dash!$H$47, "Good"), "Norm")</f>
        <v>Big</v>
      </c>
      <c r="AH155">
        <v>16.75</v>
      </c>
      <c r="AI155" t="str">
        <f>_xlfn.IFNA(_xlfn.IFS(AH155&gt;Dash!$I$46, "Big", AH155&lt;Dash!$I$49, "Small", AH155&gt;Dash!$I$47, "Good"), "Norm")</f>
        <v>Small</v>
      </c>
    </row>
    <row r="156" spans="1:35" x14ac:dyDescent="0.25">
      <c r="A156" s="1">
        <v>45394</v>
      </c>
      <c r="B156" t="s">
        <v>26</v>
      </c>
      <c r="C156" t="s">
        <v>20</v>
      </c>
      <c r="D156">
        <v>1</v>
      </c>
      <c r="E156">
        <v>309</v>
      </c>
      <c r="J156" t="s">
        <v>34</v>
      </c>
      <c r="K156" t="s">
        <v>22</v>
      </c>
      <c r="L156" t="s">
        <v>17</v>
      </c>
      <c r="M156" t="s">
        <v>18</v>
      </c>
      <c r="N156">
        <v>9</v>
      </c>
      <c r="R156" t="s">
        <v>33</v>
      </c>
      <c r="S156" t="s">
        <v>14</v>
      </c>
      <c r="T156">
        <v>509.25</v>
      </c>
      <c r="U156" t="str">
        <f>_xlfn.IFNA(_xlfn.IFS(E156&gt;Dash!$D$46, "Big", E156&lt;Dash!$D$49, "Small", E156&gt;Dash!$D$47, "Good"), "Norm")</f>
        <v>Good</v>
      </c>
      <c r="V156" t="s">
        <v>33</v>
      </c>
      <c r="W156">
        <v>430.75</v>
      </c>
      <c r="X156" t="s">
        <v>28</v>
      </c>
      <c r="Y156" s="1">
        <v>45394</v>
      </c>
      <c r="Z156">
        <v>27.75</v>
      </c>
      <c r="AA156" t="str">
        <f>_xlfn.IFNA(_xlfn.IFS(Z156&gt;Dash!$E$46, "Big", Z156&lt;Dash!$E$49, "Small", Z156&gt;Dash!$E$47, "Good"), "Norm")</f>
        <v>Small</v>
      </c>
      <c r="AB156">
        <v>147.75</v>
      </c>
      <c r="AC156" t="str">
        <f>_xlfn.IFNA(_xlfn.IFS(AB156&gt;Dash!$F$46, "Big", AB156&lt;Dash!$F$49, "Small", AB156&gt;Dash!$F$47, "Good"), "Norm")</f>
        <v>Good</v>
      </c>
      <c r="AD156">
        <v>236</v>
      </c>
      <c r="AE156" t="str">
        <f>_xlfn.IFNA(_xlfn.IFS(AD156&gt;Dash!$G$46, "Big", AD156&lt;Dash!$G$49, "Small", AD156&gt;Dash!$G$47, "Good"), "Norm")</f>
        <v>Good</v>
      </c>
      <c r="AF156">
        <v>147.75</v>
      </c>
      <c r="AG156" t="str">
        <f>_xlfn.IFNA(_xlfn.IFS(AF156&gt;Dash!$H$46, "Big", AF156&lt;Dash!$H$49, "Small", AF156&gt;Dash!$H$47, "Good"), "Norm")</f>
        <v>Norm</v>
      </c>
      <c r="AH156">
        <v>27.5</v>
      </c>
      <c r="AI156" t="str">
        <f>_xlfn.IFNA(_xlfn.IFS(AH156&gt;Dash!$I$46, "Big", AH156&lt;Dash!$I$49, "Small", AH156&gt;Dash!$I$47, "Good"), "Norm")</f>
        <v>Norm</v>
      </c>
    </row>
    <row r="157" spans="1:35" x14ac:dyDescent="0.25">
      <c r="A157" s="1">
        <v>45397</v>
      </c>
      <c r="B157" t="s">
        <v>23</v>
      </c>
      <c r="C157" t="s">
        <v>33</v>
      </c>
      <c r="D157" t="s">
        <v>14</v>
      </c>
      <c r="E157">
        <v>509.25</v>
      </c>
      <c r="F157">
        <v>1200</v>
      </c>
      <c r="J157" t="s">
        <v>21</v>
      </c>
      <c r="K157" t="s">
        <v>35</v>
      </c>
      <c r="L157" t="s">
        <v>17</v>
      </c>
      <c r="M157" t="s">
        <v>23</v>
      </c>
      <c r="N157">
        <v>5</v>
      </c>
      <c r="R157" t="s">
        <v>20</v>
      </c>
      <c r="S157" t="s">
        <v>46</v>
      </c>
      <c r="T157">
        <v>170</v>
      </c>
      <c r="U157" t="str">
        <f>_xlfn.IFNA(_xlfn.IFS(E157&gt;Dash!$D$46, "Big", E157&lt;Dash!$D$49, "Small", E157&gt;Dash!$D$47, "Good"), "Norm")</f>
        <v>Big</v>
      </c>
      <c r="V157" t="s">
        <v>20</v>
      </c>
      <c r="W157">
        <v>309</v>
      </c>
      <c r="X157">
        <v>1</v>
      </c>
      <c r="Y157" s="1">
        <v>45397</v>
      </c>
      <c r="Z157">
        <v>116.25</v>
      </c>
      <c r="AA157" t="str">
        <f>_xlfn.IFNA(_xlfn.IFS(Z157&gt;Dash!$E$46, "Big", Z157&lt;Dash!$E$49, "Small", Z157&gt;Dash!$E$47, "Good"), "Norm")</f>
        <v>Good</v>
      </c>
      <c r="AB157">
        <v>56.5</v>
      </c>
      <c r="AC157" t="str">
        <f>_xlfn.IFNA(_xlfn.IFS(AB157&gt;Dash!$F$46, "Big", AB157&lt;Dash!$F$49, "Small", AB157&gt;Dash!$F$47, "Good"), "Norm")</f>
        <v>Small</v>
      </c>
      <c r="AD157">
        <v>192.25</v>
      </c>
      <c r="AE157" t="str">
        <f>_xlfn.IFNA(_xlfn.IFS(AD157&gt;Dash!$G$46, "Big", AD157&lt;Dash!$G$49, "Small", AD157&gt;Dash!$G$47, "Good"), "Norm")</f>
        <v>Norm</v>
      </c>
      <c r="AF157">
        <v>385.25</v>
      </c>
      <c r="AG157" t="str">
        <f>_xlfn.IFNA(_xlfn.IFS(AF157&gt;Dash!$H$46, "Big", AF157&lt;Dash!$H$49, "Small", AF157&gt;Dash!$H$47, "Good"), "Norm")</f>
        <v>Big</v>
      </c>
      <c r="AH157">
        <v>39</v>
      </c>
      <c r="AI157" t="str">
        <f>_xlfn.IFNA(_xlfn.IFS(AH157&gt;Dash!$I$46, "Big", AH157&lt;Dash!$I$49, "Small", AH157&gt;Dash!$I$47, "Good"), "Norm")</f>
        <v>Good</v>
      </c>
    </row>
    <row r="158" spans="1:35" x14ac:dyDescent="0.25">
      <c r="A158" s="1">
        <v>45398</v>
      </c>
      <c r="B158" t="s">
        <v>19</v>
      </c>
      <c r="C158" t="s">
        <v>20</v>
      </c>
      <c r="D158" t="s">
        <v>46</v>
      </c>
      <c r="E158">
        <v>170</v>
      </c>
      <c r="F158">
        <v>2200</v>
      </c>
      <c r="G158">
        <v>2300</v>
      </c>
      <c r="J158" t="s">
        <v>37</v>
      </c>
      <c r="K158" t="s">
        <v>39</v>
      </c>
      <c r="L158" t="s">
        <v>32</v>
      </c>
      <c r="M158" t="s">
        <v>23</v>
      </c>
      <c r="N158">
        <v>5</v>
      </c>
      <c r="R158" t="s">
        <v>33</v>
      </c>
      <c r="S158" t="s">
        <v>14</v>
      </c>
      <c r="T158">
        <v>353.25</v>
      </c>
      <c r="U158" t="str">
        <f>_xlfn.IFNA(_xlfn.IFS(E158&gt;Dash!$D$46, "Big", E158&lt;Dash!$D$49, "Small", E158&gt;Dash!$D$47, "Good"), "Norm")</f>
        <v>Norm</v>
      </c>
      <c r="V158" t="s">
        <v>33</v>
      </c>
      <c r="W158">
        <v>509.25</v>
      </c>
      <c r="X158" t="s">
        <v>14</v>
      </c>
      <c r="Y158" s="1">
        <v>45398</v>
      </c>
      <c r="Z158">
        <v>98</v>
      </c>
      <c r="AA158" t="str">
        <f>_xlfn.IFNA(_xlfn.IFS(Z158&gt;Dash!$E$46, "Big", Z158&lt;Dash!$E$49, "Small", Z158&gt;Dash!$E$47, "Good"), "Norm")</f>
        <v>Good</v>
      </c>
      <c r="AB158">
        <v>126.5</v>
      </c>
      <c r="AC158" t="str">
        <f>_xlfn.IFNA(_xlfn.IFS(AB158&gt;Dash!$F$46, "Big", AB158&lt;Dash!$F$49, "Small", AB158&gt;Dash!$F$47, "Good"), "Norm")</f>
        <v>Good</v>
      </c>
      <c r="AD158">
        <v>114.5</v>
      </c>
      <c r="AE158" t="str">
        <f>_xlfn.IFNA(_xlfn.IFS(AD158&gt;Dash!$G$46, "Big", AD158&lt;Dash!$G$49, "Small", AD158&gt;Dash!$G$47, "Good"), "Norm")</f>
        <v>Small</v>
      </c>
      <c r="AF158">
        <v>170</v>
      </c>
      <c r="AG158" t="str">
        <f>_xlfn.IFNA(_xlfn.IFS(AF158&gt;Dash!$H$46, "Big", AF158&lt;Dash!$H$49, "Small", AF158&gt;Dash!$H$47, "Good"), "Norm")</f>
        <v>Good</v>
      </c>
      <c r="AH158">
        <v>23</v>
      </c>
      <c r="AI158" t="str">
        <f>_xlfn.IFNA(_xlfn.IFS(AH158&gt;Dash!$I$46, "Big", AH158&lt;Dash!$I$49, "Small", AH158&gt;Dash!$I$47, "Good"), "Norm")</f>
        <v>Norm</v>
      </c>
    </row>
    <row r="159" spans="1:35" x14ac:dyDescent="0.25">
      <c r="A159" s="1">
        <v>45399</v>
      </c>
      <c r="B159" t="s">
        <v>18</v>
      </c>
      <c r="C159" t="s">
        <v>33</v>
      </c>
      <c r="D159" t="s">
        <v>14</v>
      </c>
      <c r="E159">
        <v>353.25</v>
      </c>
      <c r="F159">
        <v>200</v>
      </c>
      <c r="G159">
        <v>200</v>
      </c>
      <c r="J159" t="s">
        <v>15</v>
      </c>
      <c r="K159" t="s">
        <v>35</v>
      </c>
      <c r="L159" t="s">
        <v>17</v>
      </c>
      <c r="M159" t="s">
        <v>23</v>
      </c>
      <c r="N159">
        <v>5</v>
      </c>
      <c r="R159" t="s">
        <v>20</v>
      </c>
      <c r="S159" t="s">
        <v>14</v>
      </c>
      <c r="T159">
        <v>224.5</v>
      </c>
      <c r="U159" t="str">
        <f>_xlfn.IFNA(_xlfn.IFS(E159&gt;Dash!$D$46, "Big", E159&lt;Dash!$D$49, "Small", E159&gt;Dash!$D$47, "Good"), "Norm")</f>
        <v>Good</v>
      </c>
      <c r="V159" t="s">
        <v>20</v>
      </c>
      <c r="W159">
        <v>170</v>
      </c>
      <c r="X159" t="s">
        <v>46</v>
      </c>
      <c r="Y159" s="1">
        <v>45399</v>
      </c>
      <c r="Z159">
        <v>98.25</v>
      </c>
      <c r="AA159" t="str">
        <f>_xlfn.IFNA(_xlfn.IFS(Z159&gt;Dash!$E$46, "Big", Z159&lt;Dash!$E$49, "Small", Z159&gt;Dash!$E$47, "Good"), "Norm")</f>
        <v>Good</v>
      </c>
      <c r="AB159">
        <v>164.75</v>
      </c>
      <c r="AC159" t="str">
        <f>_xlfn.IFNA(_xlfn.IFS(AB159&gt;Dash!$F$46, "Big", AB159&lt;Dash!$F$49, "Small", AB159&gt;Dash!$F$47, "Good"), "Norm")</f>
        <v>Big</v>
      </c>
      <c r="AD159">
        <v>242.25</v>
      </c>
      <c r="AE159" t="str">
        <f>_xlfn.IFNA(_xlfn.IFS(AD159&gt;Dash!$G$46, "Big", AD159&lt;Dash!$G$49, "Small", AD159&gt;Dash!$G$47, "Good"), "Norm")</f>
        <v>Good</v>
      </c>
      <c r="AF159">
        <v>181.25</v>
      </c>
      <c r="AG159" t="str">
        <f>_xlfn.IFNA(_xlfn.IFS(AF159&gt;Dash!$H$46, "Big", AF159&lt;Dash!$H$49, "Small", AF159&gt;Dash!$H$47, "Good"), "Norm")</f>
        <v>Good</v>
      </c>
      <c r="AH159">
        <v>31.5</v>
      </c>
      <c r="AI159" t="str">
        <f>_xlfn.IFNA(_xlfn.IFS(AH159&gt;Dash!$I$46, "Big", AH159&lt;Dash!$I$49, "Small", AH159&gt;Dash!$I$47, "Good"), "Norm")</f>
        <v>Norm</v>
      </c>
    </row>
    <row r="160" spans="1:35" x14ac:dyDescent="0.25">
      <c r="A160" s="1">
        <v>45400</v>
      </c>
      <c r="B160" t="s">
        <v>36</v>
      </c>
      <c r="C160" t="s">
        <v>20</v>
      </c>
      <c r="D160" t="s">
        <v>14</v>
      </c>
      <c r="E160">
        <v>224.5</v>
      </c>
      <c r="F160">
        <v>900</v>
      </c>
      <c r="G160">
        <v>1000</v>
      </c>
      <c r="J160" t="s">
        <v>45</v>
      </c>
      <c r="K160" t="s">
        <v>22</v>
      </c>
      <c r="L160" t="s">
        <v>17</v>
      </c>
      <c r="M160" t="s">
        <v>23</v>
      </c>
      <c r="N160">
        <v>5</v>
      </c>
      <c r="O160" t="s">
        <v>62</v>
      </c>
      <c r="R160" t="s">
        <v>33</v>
      </c>
      <c r="S160" t="s">
        <v>14</v>
      </c>
      <c r="T160">
        <v>440</v>
      </c>
      <c r="U160" t="str">
        <f>_xlfn.IFNA(_xlfn.IFS(E160&gt;Dash!$D$46, "Big", E160&lt;Dash!$D$49, "Small", E160&gt;Dash!$D$47, "Good"), "Norm")</f>
        <v>Norm</v>
      </c>
      <c r="V160" t="s">
        <v>33</v>
      </c>
      <c r="W160">
        <v>353.25</v>
      </c>
      <c r="X160" t="s">
        <v>14</v>
      </c>
      <c r="Y160" s="1">
        <v>45400</v>
      </c>
      <c r="Z160">
        <v>85.75</v>
      </c>
      <c r="AA160" t="str">
        <f>_xlfn.IFNA(_xlfn.IFS(Z160&gt;Dash!$E$46, "Big", Z160&lt;Dash!$E$49, "Small", Z160&gt;Dash!$E$47, "Good"), "Norm")</f>
        <v>Good</v>
      </c>
      <c r="AB160">
        <v>96</v>
      </c>
      <c r="AC160" t="str">
        <f>_xlfn.IFNA(_xlfn.IFS(AB160&gt;Dash!$F$46, "Big", AB160&lt;Dash!$F$49, "Small", AB160&gt;Dash!$F$47, "Good"), "Norm")</f>
        <v>Norm</v>
      </c>
      <c r="AD160">
        <v>194</v>
      </c>
      <c r="AE160" t="str">
        <f>_xlfn.IFNA(_xlfn.IFS(AD160&gt;Dash!$G$46, "Big", AD160&lt;Dash!$G$49, "Small", AD160&gt;Dash!$G$47, "Good"), "Norm")</f>
        <v>Norm</v>
      </c>
      <c r="AF160">
        <v>191</v>
      </c>
      <c r="AG160" t="str">
        <f>_xlfn.IFNA(_xlfn.IFS(AF160&gt;Dash!$H$46, "Big", AF160&lt;Dash!$H$49, "Small", AF160&gt;Dash!$H$47, "Good"), "Norm")</f>
        <v>Good</v>
      </c>
      <c r="AH160">
        <v>80</v>
      </c>
      <c r="AI160" t="str">
        <f>_xlfn.IFNA(_xlfn.IFS(AH160&gt;Dash!$I$46, "Big", AH160&lt;Dash!$I$49, "Small", AH160&gt;Dash!$I$47, "Good"), "Norm")</f>
        <v>Good</v>
      </c>
    </row>
    <row r="161" spans="1:35" x14ac:dyDescent="0.25">
      <c r="A161" s="1">
        <v>45401</v>
      </c>
      <c r="B161" t="s">
        <v>26</v>
      </c>
      <c r="C161" t="s">
        <v>33</v>
      </c>
      <c r="D161" t="s">
        <v>14</v>
      </c>
      <c r="E161">
        <v>440</v>
      </c>
      <c r="F161">
        <v>1900</v>
      </c>
      <c r="J161" t="s">
        <v>37</v>
      </c>
      <c r="K161" t="s">
        <v>35</v>
      </c>
      <c r="L161" t="s">
        <v>32</v>
      </c>
      <c r="M161" t="s">
        <v>23</v>
      </c>
      <c r="N161">
        <v>5</v>
      </c>
      <c r="O161" t="s">
        <v>61</v>
      </c>
      <c r="R161" t="s">
        <v>33</v>
      </c>
      <c r="S161">
        <v>1</v>
      </c>
      <c r="T161">
        <v>299.5</v>
      </c>
      <c r="U161" t="str">
        <f>_xlfn.IFNA(_xlfn.IFS(E161&gt;Dash!$D$46, "Big", E161&lt;Dash!$D$49, "Small", E161&gt;Dash!$D$47, "Good"), "Norm")</f>
        <v>Big</v>
      </c>
      <c r="V161" t="s">
        <v>20</v>
      </c>
      <c r="W161">
        <v>224.5</v>
      </c>
      <c r="X161" t="s">
        <v>14</v>
      </c>
      <c r="Y161" s="1">
        <v>45401</v>
      </c>
      <c r="Z161">
        <v>361</v>
      </c>
      <c r="AA161" t="str">
        <f>_xlfn.IFNA(_xlfn.IFS(Z161&gt;Dash!$E$46, "Big", Z161&lt;Dash!$E$49, "Small", Z161&gt;Dash!$E$47, "Good"), "Norm")</f>
        <v>Big</v>
      </c>
      <c r="AB161">
        <v>156.75</v>
      </c>
      <c r="AC161" t="str">
        <f>_xlfn.IFNA(_xlfn.IFS(AB161&gt;Dash!$F$46, "Big", AB161&lt;Dash!$F$49, "Small", AB161&gt;Dash!$F$47, "Good"), "Norm")</f>
        <v>Big</v>
      </c>
      <c r="AD161">
        <v>264.75</v>
      </c>
      <c r="AE161" t="str">
        <f>_xlfn.IFNA(_xlfn.IFS(AD161&gt;Dash!$G$46, "Big", AD161&lt;Dash!$G$49, "Small", AD161&gt;Dash!$G$47, "Good"), "Norm")</f>
        <v>Good</v>
      </c>
      <c r="AF161">
        <v>227.25</v>
      </c>
      <c r="AG161" t="str">
        <f>_xlfn.IFNA(_xlfn.IFS(AF161&gt;Dash!$H$46, "Big", AF161&lt;Dash!$H$49, "Small", AF161&gt;Dash!$H$47, "Good"), "Norm")</f>
        <v>Good</v>
      </c>
      <c r="AH161">
        <v>29.25</v>
      </c>
      <c r="AI161" t="str">
        <f>_xlfn.IFNA(_xlfn.IFS(AH161&gt;Dash!$I$46, "Big", AH161&lt;Dash!$I$49, "Small", AH161&gt;Dash!$I$47, "Good"), "Norm")</f>
        <v>Norm</v>
      </c>
    </row>
    <row r="162" spans="1:35" x14ac:dyDescent="0.25">
      <c r="A162" s="1">
        <v>45404</v>
      </c>
      <c r="B162" t="s">
        <v>23</v>
      </c>
      <c r="C162" t="s">
        <v>33</v>
      </c>
      <c r="D162">
        <v>1</v>
      </c>
      <c r="E162">
        <v>299.5</v>
      </c>
      <c r="J162" t="s">
        <v>34</v>
      </c>
      <c r="K162" t="s">
        <v>25</v>
      </c>
      <c r="L162" t="s">
        <v>32</v>
      </c>
      <c r="M162" t="s">
        <v>19</v>
      </c>
      <c r="N162">
        <v>7</v>
      </c>
      <c r="R162" t="s">
        <v>13</v>
      </c>
      <c r="S162" t="s">
        <v>28</v>
      </c>
      <c r="T162">
        <v>297.25</v>
      </c>
      <c r="U162" t="str">
        <f>_xlfn.IFNA(_xlfn.IFS(E162&gt;Dash!$D$46, "Big", E162&lt;Dash!$D$49, "Small", E162&gt;Dash!$D$47, "Good"), "Norm")</f>
        <v>Good</v>
      </c>
      <c r="V162" t="s">
        <v>33</v>
      </c>
      <c r="W162">
        <v>440</v>
      </c>
      <c r="X162" t="s">
        <v>14</v>
      </c>
      <c r="Y162" s="1">
        <v>45404</v>
      </c>
      <c r="Z162">
        <v>87</v>
      </c>
      <c r="AA162" t="str">
        <f>_xlfn.IFNA(_xlfn.IFS(Z162&gt;Dash!$E$46, "Big", Z162&lt;Dash!$E$49, "Small", Z162&gt;Dash!$E$47, "Good"), "Norm")</f>
        <v>Good</v>
      </c>
      <c r="AB162">
        <v>80.75</v>
      </c>
      <c r="AC162" t="str">
        <f>_xlfn.IFNA(_xlfn.IFS(AB162&gt;Dash!$F$46, "Big", AB162&lt;Dash!$F$49, "Small", AB162&gt;Dash!$F$47, "Good"), "Norm")</f>
        <v>Norm</v>
      </c>
      <c r="AD162">
        <v>183</v>
      </c>
      <c r="AE162" t="str">
        <f>_xlfn.IFNA(_xlfn.IFS(AD162&gt;Dash!$G$46, "Big", AD162&lt;Dash!$G$49, "Small", AD162&gt;Dash!$G$47, "Good"), "Norm")</f>
        <v>Norm</v>
      </c>
      <c r="AF162">
        <v>213.75</v>
      </c>
      <c r="AG162" t="str">
        <f>_xlfn.IFNA(_xlfn.IFS(AF162&gt;Dash!$H$46, "Big", AF162&lt;Dash!$H$49, "Small", AF162&gt;Dash!$H$47, "Good"), "Norm")</f>
        <v>Good</v>
      </c>
      <c r="AH162">
        <v>31.75</v>
      </c>
      <c r="AI162" t="str">
        <f>_xlfn.IFNA(_xlfn.IFS(AH162&gt;Dash!$I$46, "Big", AH162&lt;Dash!$I$49, "Small", AH162&gt;Dash!$I$47, "Good"), "Norm")</f>
        <v>Norm</v>
      </c>
    </row>
    <row r="163" spans="1:35" x14ac:dyDescent="0.25">
      <c r="A163" s="1">
        <v>45405</v>
      </c>
      <c r="B163" t="s">
        <v>19</v>
      </c>
      <c r="C163" t="s">
        <v>13</v>
      </c>
      <c r="D163" t="s">
        <v>28</v>
      </c>
      <c r="E163">
        <v>297.25</v>
      </c>
      <c r="F163">
        <v>900</v>
      </c>
      <c r="J163" t="s">
        <v>27</v>
      </c>
      <c r="K163" t="s">
        <v>31</v>
      </c>
      <c r="L163" t="s">
        <v>32</v>
      </c>
      <c r="M163" t="s">
        <v>19</v>
      </c>
      <c r="N163">
        <v>7</v>
      </c>
      <c r="O163" t="s">
        <v>63</v>
      </c>
      <c r="R163" t="s">
        <v>33</v>
      </c>
      <c r="S163" t="s">
        <v>43</v>
      </c>
      <c r="T163">
        <v>228.25</v>
      </c>
      <c r="U163" t="str">
        <f>_xlfn.IFNA(_xlfn.IFS(E163&gt;Dash!$D$46, "Big", E163&lt;Dash!$D$49, "Small", E163&gt;Dash!$D$47, "Good"), "Norm")</f>
        <v>Good</v>
      </c>
      <c r="V163" t="s">
        <v>33</v>
      </c>
      <c r="W163">
        <v>299.5</v>
      </c>
      <c r="X163">
        <v>1</v>
      </c>
      <c r="Y163" s="1">
        <v>45405</v>
      </c>
      <c r="Z163">
        <v>87</v>
      </c>
      <c r="AA163" t="str">
        <f>_xlfn.IFNA(_xlfn.IFS(Z163&gt;Dash!$E$46, "Big", Z163&lt;Dash!$E$49, "Small", Z163&gt;Dash!$E$47, "Good"), "Norm")</f>
        <v>Good</v>
      </c>
      <c r="AB163">
        <v>110.25</v>
      </c>
      <c r="AC163" t="str">
        <f>_xlfn.IFNA(_xlfn.IFS(AB163&gt;Dash!$F$46, "Big", AB163&lt;Dash!$F$49, "Small", AB163&gt;Dash!$F$47, "Good"), "Norm")</f>
        <v>Good</v>
      </c>
      <c r="AD163">
        <v>247.5</v>
      </c>
      <c r="AE163" t="str">
        <f>_xlfn.IFNA(_xlfn.IFS(AD163&gt;Dash!$G$46, "Big", AD163&lt;Dash!$G$49, "Small", AD163&gt;Dash!$G$47, "Good"), "Norm")</f>
        <v>Good</v>
      </c>
      <c r="AF163">
        <v>93.25</v>
      </c>
      <c r="AG163" t="str">
        <f>_xlfn.IFNA(_xlfn.IFS(AF163&gt;Dash!$H$46, "Big", AF163&lt;Dash!$H$49, "Small", AF163&gt;Dash!$H$47, "Good"), "Norm")</f>
        <v>Norm</v>
      </c>
      <c r="AH163">
        <v>74</v>
      </c>
      <c r="AI163" t="str">
        <f>_xlfn.IFNA(_xlfn.IFS(AH163&gt;Dash!$I$46, "Big", AH163&lt;Dash!$I$49, "Small", AH163&gt;Dash!$I$47, "Good"), "Norm")</f>
        <v>Good</v>
      </c>
    </row>
    <row r="164" spans="1:35" x14ac:dyDescent="0.25">
      <c r="A164" s="1">
        <v>45406</v>
      </c>
      <c r="B164" t="s">
        <v>18</v>
      </c>
      <c r="C164" t="s">
        <v>33</v>
      </c>
      <c r="D164" t="s">
        <v>43</v>
      </c>
      <c r="E164">
        <v>228.25</v>
      </c>
      <c r="F164">
        <v>1800</v>
      </c>
      <c r="G164">
        <v>1100</v>
      </c>
      <c r="J164" t="s">
        <v>29</v>
      </c>
      <c r="K164" t="s">
        <v>35</v>
      </c>
      <c r="L164" t="s">
        <v>42</v>
      </c>
      <c r="M164" t="s">
        <v>19</v>
      </c>
      <c r="N164">
        <v>7</v>
      </c>
      <c r="O164" t="s">
        <v>68</v>
      </c>
      <c r="R164" t="s">
        <v>33</v>
      </c>
      <c r="S164" t="s">
        <v>38</v>
      </c>
      <c r="T164">
        <v>296.75</v>
      </c>
      <c r="U164" t="str">
        <f>_xlfn.IFNA(_xlfn.IFS(E164&gt;Dash!$D$46, "Big", E164&lt;Dash!$D$49, "Small", E164&gt;Dash!$D$47, "Good"), "Norm")</f>
        <v>Norm</v>
      </c>
      <c r="V164" t="s">
        <v>13</v>
      </c>
      <c r="W164">
        <v>297.25</v>
      </c>
      <c r="X164" t="s">
        <v>28</v>
      </c>
      <c r="Y164" s="1">
        <v>45406</v>
      </c>
      <c r="Z164">
        <v>83.25</v>
      </c>
      <c r="AA164" t="str">
        <f>_xlfn.IFNA(_xlfn.IFS(Z164&gt;Dash!$E$46, "Big", Z164&lt;Dash!$E$49, "Small", Z164&gt;Dash!$E$47, "Good"), "Norm")</f>
        <v>Good</v>
      </c>
      <c r="AB164">
        <v>77.5</v>
      </c>
      <c r="AC164" t="str">
        <f>_xlfn.IFNA(_xlfn.IFS(AB164&gt;Dash!$F$46, "Big", AB164&lt;Dash!$F$49, "Small", AB164&gt;Dash!$F$47, "Good"), "Norm")</f>
        <v>Norm</v>
      </c>
      <c r="AD164">
        <v>192.75</v>
      </c>
      <c r="AE164" t="str">
        <f>_xlfn.IFNA(_xlfn.IFS(AD164&gt;Dash!$G$46, "Big", AD164&lt;Dash!$G$49, "Small", AD164&gt;Dash!$G$47, "Good"), "Norm")</f>
        <v>Norm</v>
      </c>
      <c r="AF164">
        <v>138</v>
      </c>
      <c r="AG164" t="str">
        <f>_xlfn.IFNA(_xlfn.IFS(AF164&gt;Dash!$H$46, "Big", AF164&lt;Dash!$H$49, "Small", AF164&gt;Dash!$H$47, "Good"), "Norm")</f>
        <v>Norm</v>
      </c>
      <c r="AH164">
        <v>195.5</v>
      </c>
      <c r="AI164" t="str">
        <f>_xlfn.IFNA(_xlfn.IFS(AH164&gt;Dash!$I$46, "Big", AH164&lt;Dash!$I$49, "Small", AH164&gt;Dash!$I$47, "Good"), "Norm")</f>
        <v>Big</v>
      </c>
    </row>
    <row r="165" spans="1:35" x14ac:dyDescent="0.25">
      <c r="A165" s="1">
        <v>45407</v>
      </c>
      <c r="B165" t="s">
        <v>36</v>
      </c>
      <c r="C165" t="s">
        <v>33</v>
      </c>
      <c r="D165" t="s">
        <v>38</v>
      </c>
      <c r="E165">
        <v>296.75</v>
      </c>
      <c r="F165">
        <v>1800</v>
      </c>
      <c r="G165">
        <v>2000</v>
      </c>
      <c r="J165" t="s">
        <v>37</v>
      </c>
      <c r="K165" t="s">
        <v>25</v>
      </c>
      <c r="L165" t="s">
        <v>44</v>
      </c>
      <c r="M165" t="s">
        <v>19</v>
      </c>
      <c r="N165">
        <v>7</v>
      </c>
      <c r="O165" t="s">
        <v>64</v>
      </c>
      <c r="R165" t="s">
        <v>33</v>
      </c>
      <c r="S165" t="s">
        <v>28</v>
      </c>
      <c r="T165">
        <v>233.25</v>
      </c>
      <c r="U165" t="str">
        <f>_xlfn.IFNA(_xlfn.IFS(E165&gt;Dash!$D$46, "Big", E165&lt;Dash!$D$49, "Small", E165&gt;Dash!$D$47, "Good"), "Norm")</f>
        <v>Good</v>
      </c>
      <c r="V165" t="s">
        <v>33</v>
      </c>
      <c r="W165">
        <v>228.25</v>
      </c>
      <c r="X165" t="s">
        <v>43</v>
      </c>
      <c r="Y165" s="1">
        <v>45407</v>
      </c>
      <c r="Z165">
        <v>79.5</v>
      </c>
      <c r="AA165" t="str">
        <f>_xlfn.IFNA(_xlfn.IFS(Z165&gt;Dash!$E$46, "Big", Z165&lt;Dash!$E$49, "Small", Z165&gt;Dash!$E$47, "Good"), "Norm")</f>
        <v>Good</v>
      </c>
      <c r="AB165">
        <v>117.75</v>
      </c>
      <c r="AC165" t="str">
        <f>_xlfn.IFNA(_xlfn.IFS(AB165&gt;Dash!$F$46, "Big", AB165&lt;Dash!$F$49, "Small", AB165&gt;Dash!$F$47, "Good"), "Norm")</f>
        <v>Good</v>
      </c>
      <c r="AD165">
        <v>207.25</v>
      </c>
      <c r="AE165" t="str">
        <f>_xlfn.IFNA(_xlfn.IFS(AD165&gt;Dash!$G$46, "Big", AD165&lt;Dash!$G$49, "Small", AD165&gt;Dash!$G$47, "Good"), "Norm")</f>
        <v>Good</v>
      </c>
      <c r="AF165">
        <v>208</v>
      </c>
      <c r="AG165" t="str">
        <f>_xlfn.IFNA(_xlfn.IFS(AF165&gt;Dash!$H$46, "Big", AF165&lt;Dash!$H$49, "Small", AF165&gt;Dash!$H$47, "Good"), "Norm")</f>
        <v>Good</v>
      </c>
      <c r="AH165">
        <v>279.5</v>
      </c>
      <c r="AI165" t="str">
        <f>_xlfn.IFNA(_xlfn.IFS(AH165&gt;Dash!$I$46, "Big", AH165&lt;Dash!$I$49, "Small", AH165&gt;Dash!$I$47, "Good"), "Norm")</f>
        <v>Big</v>
      </c>
    </row>
    <row r="166" spans="1:35" x14ac:dyDescent="0.25">
      <c r="A166" s="1">
        <v>45408</v>
      </c>
      <c r="B166" t="s">
        <v>26</v>
      </c>
      <c r="C166" t="s">
        <v>33</v>
      </c>
      <c r="D166" t="s">
        <v>28</v>
      </c>
      <c r="E166">
        <v>233.25</v>
      </c>
      <c r="F166">
        <v>1000</v>
      </c>
      <c r="J166" t="s">
        <v>27</v>
      </c>
      <c r="K166" t="s">
        <v>25</v>
      </c>
      <c r="L166" t="s">
        <v>32</v>
      </c>
      <c r="M166" t="s">
        <v>19</v>
      </c>
      <c r="N166">
        <v>7</v>
      </c>
      <c r="R166" t="s">
        <v>33</v>
      </c>
      <c r="S166" t="s">
        <v>28</v>
      </c>
      <c r="T166">
        <v>157.75</v>
      </c>
      <c r="U166" t="str">
        <f>_xlfn.IFNA(_xlfn.IFS(E166&gt;Dash!$D$46, "Big", E166&lt;Dash!$D$49, "Small", E166&gt;Dash!$D$47, "Good"), "Norm")</f>
        <v>Norm</v>
      </c>
      <c r="V166" t="s">
        <v>33</v>
      </c>
      <c r="W166">
        <v>296.75</v>
      </c>
      <c r="X166" t="s">
        <v>38</v>
      </c>
      <c r="Y166" s="1">
        <v>45408</v>
      </c>
      <c r="Z166">
        <v>84.75</v>
      </c>
      <c r="AA166" t="str">
        <f>_xlfn.IFNA(_xlfn.IFS(Z166&gt;Dash!$E$46, "Big", Z166&lt;Dash!$E$49, "Small", Z166&gt;Dash!$E$47, "Good"), "Norm")</f>
        <v>Good</v>
      </c>
      <c r="AB166">
        <v>81.5</v>
      </c>
      <c r="AC166" t="str">
        <f>_xlfn.IFNA(_xlfn.IFS(AB166&gt;Dash!$F$46, "Big", AB166&lt;Dash!$F$49, "Small", AB166&gt;Dash!$F$47, "Good"), "Norm")</f>
        <v>Norm</v>
      </c>
      <c r="AD166">
        <v>218</v>
      </c>
      <c r="AE166" t="str">
        <f>_xlfn.IFNA(_xlfn.IFS(AD166&gt;Dash!$G$46, "Big", AD166&lt;Dash!$G$49, "Small", AD166&gt;Dash!$G$47, "Good"), "Norm")</f>
        <v>Good</v>
      </c>
      <c r="AF166">
        <v>74.75</v>
      </c>
      <c r="AG166" t="str">
        <f>_xlfn.IFNA(_xlfn.IFS(AF166&gt;Dash!$H$46, "Big", AF166&lt;Dash!$H$49, "Small", AF166&gt;Dash!$H$47, "Good"), "Norm")</f>
        <v>Small</v>
      </c>
      <c r="AH166">
        <v>17.5</v>
      </c>
      <c r="AI166" t="str">
        <f>_xlfn.IFNA(_xlfn.IFS(AH166&gt;Dash!$I$46, "Big", AH166&lt;Dash!$I$49, "Small", AH166&gt;Dash!$I$47, "Good"), "Norm")</f>
        <v>Small</v>
      </c>
    </row>
    <row r="167" spans="1:35" x14ac:dyDescent="0.25">
      <c r="A167" s="1">
        <v>45411</v>
      </c>
      <c r="B167" t="s">
        <v>23</v>
      </c>
      <c r="C167" t="s">
        <v>33</v>
      </c>
      <c r="D167" t="s">
        <v>28</v>
      </c>
      <c r="E167">
        <v>157.75</v>
      </c>
      <c r="F167">
        <v>2100</v>
      </c>
      <c r="G167">
        <v>2200</v>
      </c>
      <c r="J167" t="s">
        <v>29</v>
      </c>
      <c r="K167" t="s">
        <v>35</v>
      </c>
      <c r="L167" t="s">
        <v>17</v>
      </c>
      <c r="M167" t="s">
        <v>19</v>
      </c>
      <c r="N167">
        <v>14</v>
      </c>
      <c r="R167" t="s">
        <v>13</v>
      </c>
      <c r="S167" t="s">
        <v>14</v>
      </c>
      <c r="T167">
        <v>331.75</v>
      </c>
      <c r="U167" t="str">
        <f>_xlfn.IFNA(_xlfn.IFS(E167&gt;Dash!$D$46, "Big", E167&lt;Dash!$D$49, "Small", E167&gt;Dash!$D$47, "Good"), "Norm")</f>
        <v>Norm</v>
      </c>
      <c r="V167" t="s">
        <v>33</v>
      </c>
      <c r="W167">
        <v>233.25</v>
      </c>
      <c r="X167" t="s">
        <v>28</v>
      </c>
      <c r="Y167" s="1">
        <v>45411</v>
      </c>
      <c r="Z167">
        <v>68.75</v>
      </c>
      <c r="AA167" t="str">
        <f>_xlfn.IFNA(_xlfn.IFS(Z167&gt;Dash!$E$46, "Big", Z167&lt;Dash!$E$49, "Small", Z167&gt;Dash!$E$47, "Good"), "Norm")</f>
        <v>Norm</v>
      </c>
      <c r="AB167">
        <v>57.75</v>
      </c>
      <c r="AC167" t="str">
        <f>_xlfn.IFNA(_xlfn.IFS(AB167&gt;Dash!$F$46, "Big", AB167&lt;Dash!$F$49, "Small", AB167&gt;Dash!$F$47, "Good"), "Norm")</f>
        <v>Norm</v>
      </c>
      <c r="AD167">
        <v>119</v>
      </c>
      <c r="AE167" t="str">
        <f>_xlfn.IFNA(_xlfn.IFS(AD167&gt;Dash!$G$46, "Big", AD167&lt;Dash!$G$49, "Small", AD167&gt;Dash!$G$47, "Good"), "Norm")</f>
        <v>Norm</v>
      </c>
      <c r="AF167">
        <v>140.25</v>
      </c>
      <c r="AG167" t="str">
        <f>_xlfn.IFNA(_xlfn.IFS(AF167&gt;Dash!$H$46, "Big", AF167&lt;Dash!$H$49, "Small", AF167&gt;Dash!$H$47, "Good"), "Norm")</f>
        <v>Norm</v>
      </c>
      <c r="AH167">
        <v>27.5</v>
      </c>
      <c r="AI167" t="str">
        <f>_xlfn.IFNA(_xlfn.IFS(AH167&gt;Dash!$I$46, "Big", AH167&lt;Dash!$I$49, "Small", AH167&gt;Dash!$I$47, "Good"), "Norm")</f>
        <v>Norm</v>
      </c>
    </row>
    <row r="168" spans="1:35" x14ac:dyDescent="0.25">
      <c r="A168" s="1">
        <v>45412</v>
      </c>
      <c r="B168" t="s">
        <v>19</v>
      </c>
      <c r="C168" t="s">
        <v>13</v>
      </c>
      <c r="D168" t="s">
        <v>14</v>
      </c>
      <c r="E168">
        <v>331.75</v>
      </c>
      <c r="F168">
        <v>800</v>
      </c>
      <c r="G168">
        <v>800</v>
      </c>
      <c r="J168" t="s">
        <v>45</v>
      </c>
      <c r="K168" t="s">
        <v>16</v>
      </c>
      <c r="L168" t="s">
        <v>42</v>
      </c>
      <c r="M168" t="s">
        <v>19</v>
      </c>
      <c r="N168">
        <v>14</v>
      </c>
      <c r="O168" t="s">
        <v>69</v>
      </c>
      <c r="R168" t="s">
        <v>33</v>
      </c>
      <c r="S168" t="s">
        <v>46</v>
      </c>
      <c r="T168">
        <v>394</v>
      </c>
      <c r="U168" t="str">
        <f>_xlfn.IFNA(_xlfn.IFS(E168&gt;Dash!$D$46, "Big", E168&lt;Dash!$D$49, "Small", E168&gt;Dash!$D$47, "Good"), "Norm")</f>
        <v>Good</v>
      </c>
      <c r="V168" t="s">
        <v>33</v>
      </c>
      <c r="W168">
        <v>157.75</v>
      </c>
      <c r="X168" t="s">
        <v>28</v>
      </c>
      <c r="Y168" s="1">
        <v>45412</v>
      </c>
      <c r="Z168">
        <v>84.25</v>
      </c>
      <c r="AA168" t="str">
        <f>_xlfn.IFNA(_xlfn.IFS(Z168&gt;Dash!$E$46, "Big", Z168&lt;Dash!$E$49, "Small", Z168&gt;Dash!$E$47, "Good"), "Norm")</f>
        <v>Good</v>
      </c>
      <c r="AB168">
        <v>49.25</v>
      </c>
      <c r="AC168" t="str">
        <f>_xlfn.IFNA(_xlfn.IFS(AB168&gt;Dash!$F$46, "Big", AB168&lt;Dash!$F$49, "Small", AB168&gt;Dash!$F$47, "Good"), "Norm")</f>
        <v>Small</v>
      </c>
      <c r="AD168">
        <v>163.25</v>
      </c>
      <c r="AE168" t="str">
        <f>_xlfn.IFNA(_xlfn.IFS(AD168&gt;Dash!$G$46, "Big", AD168&lt;Dash!$G$49, "Small", AD168&gt;Dash!$G$47, "Good"), "Norm")</f>
        <v>Norm</v>
      </c>
      <c r="AF168">
        <v>212.5</v>
      </c>
      <c r="AG168" t="str">
        <f>_xlfn.IFNA(_xlfn.IFS(AF168&gt;Dash!$H$46, "Big", AF168&lt;Dash!$H$49, "Small", AF168&gt;Dash!$H$47, "Good"), "Norm")</f>
        <v>Good</v>
      </c>
      <c r="AH168">
        <v>157.25</v>
      </c>
      <c r="AI168" t="str">
        <f>_xlfn.IFNA(_xlfn.IFS(AH168&gt;Dash!$I$46, "Big", AH168&lt;Dash!$I$49, "Small", AH168&gt;Dash!$I$47, "Good"), "Norm")</f>
        <v>Big</v>
      </c>
    </row>
    <row r="169" spans="1:35" x14ac:dyDescent="0.25">
      <c r="A169" s="1">
        <v>45413</v>
      </c>
      <c r="B169" t="s">
        <v>18</v>
      </c>
      <c r="C169" t="s">
        <v>33</v>
      </c>
      <c r="D169" t="s">
        <v>46</v>
      </c>
      <c r="E169">
        <v>394</v>
      </c>
      <c r="F169">
        <v>1800</v>
      </c>
      <c r="G169">
        <v>1800</v>
      </c>
      <c r="J169" t="s">
        <v>37</v>
      </c>
      <c r="K169" t="s">
        <v>17</v>
      </c>
      <c r="L169" t="s">
        <v>32</v>
      </c>
      <c r="M169" t="s">
        <v>19</v>
      </c>
      <c r="N169">
        <v>14</v>
      </c>
      <c r="R169" t="s">
        <v>33</v>
      </c>
      <c r="S169" t="s">
        <v>46</v>
      </c>
      <c r="T169">
        <v>299.25</v>
      </c>
      <c r="U169" t="str">
        <f>_xlfn.IFNA(_xlfn.IFS(E169&gt;Dash!$D$46, "Big", E169&lt;Dash!$D$49, "Small", E169&gt;Dash!$D$47, "Good"), "Norm")</f>
        <v>Good</v>
      </c>
      <c r="V169" t="s">
        <v>13</v>
      </c>
      <c r="W169">
        <v>331.75</v>
      </c>
      <c r="X169" t="s">
        <v>14</v>
      </c>
      <c r="Y169" s="1">
        <v>45413</v>
      </c>
      <c r="Z169">
        <v>75.5</v>
      </c>
      <c r="AA169" t="str">
        <f>_xlfn.IFNA(_xlfn.IFS(Z169&gt;Dash!$E$46, "Big", Z169&lt;Dash!$E$49, "Small", Z169&gt;Dash!$E$47, "Good"), "Norm")</f>
        <v>Norm</v>
      </c>
      <c r="AB169">
        <v>105</v>
      </c>
      <c r="AC169" t="str">
        <f>_xlfn.IFNA(_xlfn.IFS(AB169&gt;Dash!$F$46, "Big", AB169&lt;Dash!$F$49, "Small", AB169&gt;Dash!$F$47, "Good"), "Norm")</f>
        <v>Good</v>
      </c>
      <c r="AD169">
        <v>106.25</v>
      </c>
      <c r="AE169" t="str">
        <f>_xlfn.IFNA(_xlfn.IFS(AD169&gt;Dash!$G$46, "Big", AD169&lt;Dash!$G$49, "Small", AD169&gt;Dash!$G$47, "Good"), "Norm")</f>
        <v>Small</v>
      </c>
      <c r="AF169">
        <v>394</v>
      </c>
      <c r="AG169" t="str">
        <f>_xlfn.IFNA(_xlfn.IFS(AF169&gt;Dash!$H$46, "Big", AF169&lt;Dash!$H$49, "Small", AF169&gt;Dash!$H$47, "Good"), "Norm")</f>
        <v>Big</v>
      </c>
      <c r="AH169">
        <v>59.25</v>
      </c>
      <c r="AI169" t="str">
        <f>_xlfn.IFNA(_xlfn.IFS(AH169&gt;Dash!$I$46, "Big", AH169&lt;Dash!$I$49, "Small", AH169&gt;Dash!$I$47, "Good"), "Norm")</f>
        <v>Good</v>
      </c>
    </row>
    <row r="170" spans="1:35" x14ac:dyDescent="0.25">
      <c r="A170" s="1">
        <v>45414</v>
      </c>
      <c r="B170" t="s">
        <v>36</v>
      </c>
      <c r="C170" t="s">
        <v>33</v>
      </c>
      <c r="D170" t="s">
        <v>46</v>
      </c>
      <c r="E170">
        <v>299.25</v>
      </c>
      <c r="F170">
        <v>1000</v>
      </c>
      <c r="G170">
        <v>1000</v>
      </c>
      <c r="J170" t="s">
        <v>45</v>
      </c>
      <c r="K170" t="s">
        <v>25</v>
      </c>
      <c r="L170" t="s">
        <v>44</v>
      </c>
      <c r="M170" t="s">
        <v>19</v>
      </c>
      <c r="N170">
        <v>14</v>
      </c>
      <c r="O170" t="s">
        <v>70</v>
      </c>
      <c r="R170" t="s">
        <v>41</v>
      </c>
      <c r="S170" t="s">
        <v>28</v>
      </c>
      <c r="T170">
        <v>307</v>
      </c>
      <c r="U170" t="str">
        <f>_xlfn.IFNA(_xlfn.IFS(E170&gt;Dash!$D$46, "Big", E170&lt;Dash!$D$49, "Small", E170&gt;Dash!$D$47, "Good"), "Norm")</f>
        <v>Good</v>
      </c>
      <c r="V170" t="s">
        <v>33</v>
      </c>
      <c r="W170">
        <v>394</v>
      </c>
      <c r="X170" t="s">
        <v>46</v>
      </c>
      <c r="Y170" s="1">
        <v>45414</v>
      </c>
      <c r="Z170">
        <v>74.25</v>
      </c>
      <c r="AA170" t="str">
        <f>_xlfn.IFNA(_xlfn.IFS(Z170&gt;Dash!$E$46, "Big", Z170&lt;Dash!$E$49, "Small", Z170&gt;Dash!$E$47, "Good"), "Norm")</f>
        <v>Norm</v>
      </c>
      <c r="AB170">
        <v>94.25</v>
      </c>
      <c r="AC170" t="str">
        <f>_xlfn.IFNA(_xlfn.IFS(AB170&gt;Dash!$F$46, "Big", AB170&lt;Dash!$F$49, "Small", AB170&gt;Dash!$F$47, "Good"), "Norm")</f>
        <v>Norm</v>
      </c>
      <c r="AD170">
        <v>233.5</v>
      </c>
      <c r="AE170" t="str">
        <f>_xlfn.IFNA(_xlfn.IFS(AD170&gt;Dash!$G$46, "Big", AD170&lt;Dash!$G$49, "Small", AD170&gt;Dash!$G$47, "Good"), "Norm")</f>
        <v>Good</v>
      </c>
      <c r="AF170">
        <v>192.25</v>
      </c>
      <c r="AG170" t="str">
        <f>_xlfn.IFNA(_xlfn.IFS(AF170&gt;Dash!$H$46, "Big", AF170&lt;Dash!$H$49, "Small", AF170&gt;Dash!$H$47, "Good"), "Norm")</f>
        <v>Good</v>
      </c>
      <c r="AH170">
        <v>121.25</v>
      </c>
      <c r="AI170" t="str">
        <f>_xlfn.IFNA(_xlfn.IFS(AH170&gt;Dash!$I$46, "Big", AH170&lt;Dash!$I$49, "Small", AH170&gt;Dash!$I$47, "Good"), "Norm")</f>
        <v>Big</v>
      </c>
    </row>
    <row r="171" spans="1:35" x14ac:dyDescent="0.25">
      <c r="A171" s="1">
        <v>45415</v>
      </c>
      <c r="B171" t="s">
        <v>26</v>
      </c>
      <c r="C171" t="s">
        <v>41</v>
      </c>
      <c r="D171" t="s">
        <v>28</v>
      </c>
      <c r="E171">
        <v>307</v>
      </c>
      <c r="F171">
        <v>1800</v>
      </c>
      <c r="G171">
        <v>1800</v>
      </c>
      <c r="J171" t="s">
        <v>29</v>
      </c>
      <c r="K171" t="s">
        <v>39</v>
      </c>
      <c r="L171" t="s">
        <v>35</v>
      </c>
      <c r="M171" t="s">
        <v>19</v>
      </c>
      <c r="N171">
        <v>14</v>
      </c>
      <c r="R171" t="s">
        <v>13</v>
      </c>
      <c r="S171" t="s">
        <v>28</v>
      </c>
      <c r="T171">
        <v>160.75</v>
      </c>
      <c r="U171" t="str">
        <f>_xlfn.IFNA(_xlfn.IFS(E171&gt;Dash!$D$46, "Big", E171&lt;Dash!$D$49, "Small", E171&gt;Dash!$D$47, "Good"), "Norm")</f>
        <v>Good</v>
      </c>
      <c r="V171" t="s">
        <v>33</v>
      </c>
      <c r="W171">
        <v>299.25</v>
      </c>
      <c r="X171" t="s">
        <v>46</v>
      </c>
      <c r="Y171" s="1">
        <v>45415</v>
      </c>
      <c r="Z171">
        <v>85.5</v>
      </c>
      <c r="AA171" t="str">
        <f>_xlfn.IFNA(_xlfn.IFS(Z171&gt;Dash!$E$46, "Big", Z171&lt;Dash!$E$49, "Small", Z171&gt;Dash!$E$47, "Good"), "Norm")</f>
        <v>Good</v>
      </c>
      <c r="AB171">
        <v>59.5</v>
      </c>
      <c r="AC171" t="str">
        <f>_xlfn.IFNA(_xlfn.IFS(AB171&gt;Dash!$F$46, "Big", AB171&lt;Dash!$F$49, "Small", AB171&gt;Dash!$F$47, "Good"), "Norm")</f>
        <v>Norm</v>
      </c>
      <c r="AD171">
        <v>307</v>
      </c>
      <c r="AE171" t="str">
        <f>_xlfn.IFNA(_xlfn.IFS(AD171&gt;Dash!$G$46, "Big", AD171&lt;Dash!$G$49, "Small", AD171&gt;Dash!$G$47, "Good"), "Norm")</f>
        <v>Good</v>
      </c>
      <c r="AF171">
        <v>65.75</v>
      </c>
      <c r="AG171" t="str">
        <f>_xlfn.IFNA(_xlfn.IFS(AF171&gt;Dash!$H$46, "Big", AF171&lt;Dash!$H$49, "Small", AF171&gt;Dash!$H$47, "Good"), "Norm")</f>
        <v>Small</v>
      </c>
      <c r="AH171">
        <v>27.5</v>
      </c>
      <c r="AI171" t="str">
        <f>_xlfn.IFNA(_xlfn.IFS(AH171&gt;Dash!$I$46, "Big", AH171&lt;Dash!$I$49, "Small", AH171&gt;Dash!$I$47, "Good"), "Norm")</f>
        <v>Norm</v>
      </c>
    </row>
    <row r="172" spans="1:35" x14ac:dyDescent="0.25">
      <c r="A172" s="1">
        <v>45418</v>
      </c>
      <c r="B172" t="s">
        <v>23</v>
      </c>
      <c r="C172" t="s">
        <v>13</v>
      </c>
      <c r="D172" t="s">
        <v>28</v>
      </c>
      <c r="E172">
        <v>160.75</v>
      </c>
      <c r="F172">
        <v>1800</v>
      </c>
      <c r="G172">
        <v>1800</v>
      </c>
      <c r="J172" t="s">
        <v>29</v>
      </c>
      <c r="K172" t="s">
        <v>31</v>
      </c>
      <c r="L172" t="s">
        <v>32</v>
      </c>
      <c r="M172" t="s">
        <v>36</v>
      </c>
      <c r="N172">
        <v>3</v>
      </c>
      <c r="R172" t="s">
        <v>20</v>
      </c>
      <c r="S172" t="s">
        <v>28</v>
      </c>
      <c r="T172">
        <v>106.25</v>
      </c>
      <c r="U172" t="str">
        <f>_xlfn.IFNA(_xlfn.IFS(E172&gt;Dash!$D$46, "Big", E172&lt;Dash!$D$49, "Small", E172&gt;Dash!$D$47, "Good"), "Norm")</f>
        <v>Norm</v>
      </c>
      <c r="V172" t="s">
        <v>41</v>
      </c>
      <c r="W172">
        <v>307</v>
      </c>
      <c r="X172" t="s">
        <v>28</v>
      </c>
      <c r="Y172" s="1">
        <v>45418</v>
      </c>
      <c r="Z172">
        <v>80</v>
      </c>
      <c r="AA172" t="str">
        <f>_xlfn.IFNA(_xlfn.IFS(Z172&gt;Dash!$E$46, "Big", Z172&lt;Dash!$E$49, "Small", Z172&gt;Dash!$E$47, "Good"), "Norm")</f>
        <v>Good</v>
      </c>
      <c r="AB172">
        <v>64.25</v>
      </c>
      <c r="AC172" t="str">
        <f>_xlfn.IFNA(_xlfn.IFS(AB172&gt;Dash!$F$46, "Big", AB172&lt;Dash!$F$49, "Small", AB172&gt;Dash!$F$47, "Good"), "Norm")</f>
        <v>Norm</v>
      </c>
      <c r="AD172">
        <v>84</v>
      </c>
      <c r="AE172" t="str">
        <f>_xlfn.IFNA(_xlfn.IFS(AD172&gt;Dash!$G$46, "Big", AD172&lt;Dash!$G$49, "Small", AD172&gt;Dash!$G$47, "Good"), "Norm")</f>
        <v>Small</v>
      </c>
      <c r="AF172">
        <v>131</v>
      </c>
      <c r="AG172" t="str">
        <f>_xlfn.IFNA(_xlfn.IFS(AF172&gt;Dash!$H$46, "Big", AF172&lt;Dash!$H$49, "Small", AF172&gt;Dash!$H$47, "Good"), "Norm")</f>
        <v>Norm</v>
      </c>
      <c r="AH172">
        <v>22</v>
      </c>
      <c r="AI172" t="str">
        <f>_xlfn.IFNA(_xlfn.IFS(AH172&gt;Dash!$I$46, "Big", AH172&lt;Dash!$I$49, "Small", AH172&gt;Dash!$I$47, "Good"), "Norm")</f>
        <v>Norm</v>
      </c>
    </row>
    <row r="173" spans="1:35" x14ac:dyDescent="0.25">
      <c r="A173" s="1">
        <v>45419</v>
      </c>
      <c r="B173" t="s">
        <v>19</v>
      </c>
      <c r="C173" t="s">
        <v>20</v>
      </c>
      <c r="D173" t="s">
        <v>28</v>
      </c>
      <c r="E173">
        <v>106.25</v>
      </c>
      <c r="F173">
        <v>900</v>
      </c>
      <c r="G173">
        <v>900</v>
      </c>
      <c r="J173" t="s">
        <v>27</v>
      </c>
      <c r="K173" t="s">
        <v>39</v>
      </c>
      <c r="L173" t="s">
        <v>32</v>
      </c>
      <c r="M173" t="s">
        <v>36</v>
      </c>
      <c r="N173">
        <v>3</v>
      </c>
      <c r="R173" t="s">
        <v>33</v>
      </c>
      <c r="S173" t="s">
        <v>14</v>
      </c>
      <c r="T173">
        <v>169.75</v>
      </c>
      <c r="U173" t="str">
        <f>_xlfn.IFNA(_xlfn.IFS(E173&gt;Dash!$D$46, "Big", E173&lt;Dash!$D$49, "Small", E173&gt;Dash!$D$47, "Good"), "Norm")</f>
        <v>Small</v>
      </c>
      <c r="V173" t="s">
        <v>13</v>
      </c>
      <c r="W173">
        <v>160.75</v>
      </c>
      <c r="X173" t="s">
        <v>28</v>
      </c>
      <c r="Y173" s="1">
        <v>45419</v>
      </c>
      <c r="Z173">
        <v>28</v>
      </c>
      <c r="AA173" t="str">
        <f>_xlfn.IFNA(_xlfn.IFS(Z173&gt;Dash!$E$46, "Big", Z173&lt;Dash!$E$49, "Small", Z173&gt;Dash!$E$47, "Good"), "Norm")</f>
        <v>Small</v>
      </c>
      <c r="AB173">
        <v>48</v>
      </c>
      <c r="AC173" t="str">
        <f>_xlfn.IFNA(_xlfn.IFS(AB173&gt;Dash!$F$46, "Big", AB173&lt;Dash!$F$49, "Small", AB173&gt;Dash!$F$47, "Good"), "Norm")</f>
        <v>Small</v>
      </c>
      <c r="AD173">
        <v>103.75</v>
      </c>
      <c r="AE173" t="str">
        <f>_xlfn.IFNA(_xlfn.IFS(AD173&gt;Dash!$G$46, "Big", AD173&lt;Dash!$G$49, "Small", AD173&gt;Dash!$G$47, "Good"), "Norm")</f>
        <v>Small</v>
      </c>
      <c r="AF173">
        <v>99.75</v>
      </c>
      <c r="AG173" t="str">
        <f>_xlfn.IFNA(_xlfn.IFS(AF173&gt;Dash!$H$46, "Big", AF173&lt;Dash!$H$49, "Small", AF173&gt;Dash!$H$47, "Good"), "Norm")</f>
        <v>Norm</v>
      </c>
      <c r="AH173">
        <v>22.25</v>
      </c>
      <c r="AI173" t="str">
        <f>_xlfn.IFNA(_xlfn.IFS(AH173&gt;Dash!$I$46, "Big", AH173&lt;Dash!$I$49, "Small", AH173&gt;Dash!$I$47, "Good"), "Norm")</f>
        <v>Norm</v>
      </c>
    </row>
    <row r="174" spans="1:35" x14ac:dyDescent="0.25">
      <c r="A174" s="1">
        <v>45420</v>
      </c>
      <c r="B174" t="s">
        <v>18</v>
      </c>
      <c r="C174" t="s">
        <v>33</v>
      </c>
      <c r="D174" t="s">
        <v>14</v>
      </c>
      <c r="E174">
        <v>169.75</v>
      </c>
      <c r="F174">
        <v>700</v>
      </c>
      <c r="G174">
        <v>900</v>
      </c>
      <c r="J174" t="s">
        <v>15</v>
      </c>
      <c r="K174" t="s">
        <v>25</v>
      </c>
      <c r="L174" t="s">
        <v>35</v>
      </c>
      <c r="M174" t="s">
        <v>36</v>
      </c>
      <c r="N174">
        <v>3</v>
      </c>
      <c r="R174" t="s">
        <v>20</v>
      </c>
      <c r="S174">
        <v>1</v>
      </c>
      <c r="T174">
        <v>130.5</v>
      </c>
      <c r="U174" t="str">
        <f>_xlfn.IFNA(_xlfn.IFS(E174&gt;Dash!$D$46, "Big", E174&lt;Dash!$D$49, "Small", E174&gt;Dash!$D$47, "Good"), "Norm")</f>
        <v>Norm</v>
      </c>
      <c r="V174" t="s">
        <v>20</v>
      </c>
      <c r="W174">
        <v>106.25</v>
      </c>
      <c r="X174" t="s">
        <v>28</v>
      </c>
      <c r="Y174" s="1">
        <v>45420</v>
      </c>
      <c r="Z174">
        <v>34.5</v>
      </c>
      <c r="AA174" t="str">
        <f>_xlfn.IFNA(_xlfn.IFS(Z174&gt;Dash!$E$46, "Big", Z174&lt;Dash!$E$49, "Small", Z174&gt;Dash!$E$47, "Good"), "Norm")</f>
        <v>Small</v>
      </c>
      <c r="AB174">
        <v>69.75</v>
      </c>
      <c r="AC174" t="str">
        <f>_xlfn.IFNA(_xlfn.IFS(AB174&gt;Dash!$F$46, "Big", AB174&lt;Dash!$F$49, "Small", AB174&gt;Dash!$F$47, "Good"), "Norm")</f>
        <v>Norm</v>
      </c>
      <c r="AD174">
        <v>169.75</v>
      </c>
      <c r="AE174" t="str">
        <f>_xlfn.IFNA(_xlfn.IFS(AD174&gt;Dash!$G$46, "Big", AD174&lt;Dash!$G$49, "Small", AD174&gt;Dash!$G$47, "Good"), "Norm")</f>
        <v>Norm</v>
      </c>
      <c r="AF174">
        <v>62.75</v>
      </c>
      <c r="AG174" t="str">
        <f>_xlfn.IFNA(_xlfn.IFS(AF174&gt;Dash!$H$46, "Big", AF174&lt;Dash!$H$49, "Small", AF174&gt;Dash!$H$47, "Good"), "Norm")</f>
        <v>Small</v>
      </c>
      <c r="AH174">
        <v>31</v>
      </c>
      <c r="AI174" t="str">
        <f>_xlfn.IFNA(_xlfn.IFS(AH174&gt;Dash!$I$46, "Big", AH174&lt;Dash!$I$49, "Small", AH174&gt;Dash!$I$47, "Good"), "Norm")</f>
        <v>Norm</v>
      </c>
    </row>
    <row r="175" spans="1:35" x14ac:dyDescent="0.25">
      <c r="A175" s="1">
        <v>45421</v>
      </c>
      <c r="B175" t="s">
        <v>36</v>
      </c>
      <c r="C175" t="s">
        <v>20</v>
      </c>
      <c r="D175">
        <v>1</v>
      </c>
      <c r="E175">
        <v>130.5</v>
      </c>
      <c r="J175" t="s">
        <v>34</v>
      </c>
      <c r="K175" t="s">
        <v>39</v>
      </c>
      <c r="L175" t="s">
        <v>32</v>
      </c>
      <c r="M175" t="s">
        <v>36</v>
      </c>
      <c r="N175">
        <v>3</v>
      </c>
      <c r="R175" t="s">
        <v>33</v>
      </c>
      <c r="S175" t="s">
        <v>28</v>
      </c>
      <c r="T175">
        <v>159.5</v>
      </c>
      <c r="U175" t="str">
        <f>_xlfn.IFNA(_xlfn.IFS(E175&gt;Dash!$D$46, "Big", E175&lt;Dash!$D$49, "Small", E175&gt;Dash!$D$47, "Good"), "Norm")</f>
        <v>Small</v>
      </c>
      <c r="V175" t="s">
        <v>33</v>
      </c>
      <c r="W175">
        <v>169.75</v>
      </c>
      <c r="X175" t="s">
        <v>14</v>
      </c>
      <c r="Y175" s="1">
        <v>45421</v>
      </c>
      <c r="Z175">
        <v>32.25</v>
      </c>
      <c r="AA175" t="str">
        <f>_xlfn.IFNA(_xlfn.IFS(Z175&gt;Dash!$E$46, "Big", Z175&lt;Dash!$E$49, "Small", Z175&gt;Dash!$E$47, "Good"), "Norm")</f>
        <v>Small</v>
      </c>
      <c r="AB175">
        <v>60.75</v>
      </c>
      <c r="AC175" t="str">
        <f>_xlfn.IFNA(_xlfn.IFS(AB175&gt;Dash!$F$46, "Big", AB175&lt;Dash!$F$49, "Small", AB175&gt;Dash!$F$47, "Good"), "Norm")</f>
        <v>Norm</v>
      </c>
      <c r="AD175">
        <v>128.5</v>
      </c>
      <c r="AE175" t="str">
        <f>_xlfn.IFNA(_xlfn.IFS(AD175&gt;Dash!$G$46, "Big", AD175&lt;Dash!$G$49, "Small", AD175&gt;Dash!$G$47, "Good"), "Norm")</f>
        <v>Norm</v>
      </c>
      <c r="AF175">
        <v>69.25</v>
      </c>
      <c r="AG175" t="str">
        <f>_xlfn.IFNA(_xlfn.IFS(AF175&gt;Dash!$H$46, "Big", AF175&lt;Dash!$H$49, "Small", AF175&gt;Dash!$H$47, "Good"), "Norm")</f>
        <v>Small</v>
      </c>
      <c r="AH175">
        <v>29.25</v>
      </c>
      <c r="AI175" t="str">
        <f>_xlfn.IFNA(_xlfn.IFS(AH175&gt;Dash!$I$46, "Big", AH175&lt;Dash!$I$49, "Small", AH175&gt;Dash!$I$47, "Good"), "Norm")</f>
        <v>Norm</v>
      </c>
    </row>
    <row r="176" spans="1:35" x14ac:dyDescent="0.25">
      <c r="A176" s="1">
        <v>45422</v>
      </c>
      <c r="B176" t="s">
        <v>26</v>
      </c>
      <c r="C176" t="s">
        <v>33</v>
      </c>
      <c r="D176" t="s">
        <v>28</v>
      </c>
      <c r="E176">
        <v>159.5</v>
      </c>
      <c r="F176">
        <v>200</v>
      </c>
      <c r="G176">
        <v>1000</v>
      </c>
      <c r="J176" t="s">
        <v>29</v>
      </c>
      <c r="K176" t="s">
        <v>35</v>
      </c>
      <c r="L176" t="s">
        <v>25</v>
      </c>
      <c r="M176" t="s">
        <v>36</v>
      </c>
      <c r="N176">
        <v>3</v>
      </c>
      <c r="R176" t="s">
        <v>24</v>
      </c>
      <c r="S176">
        <v>1</v>
      </c>
      <c r="T176">
        <v>101.25</v>
      </c>
      <c r="U176" t="str">
        <f>_xlfn.IFNA(_xlfn.IFS(E176&gt;Dash!$D$46, "Big", E176&lt;Dash!$D$49, "Small", E176&gt;Dash!$D$47, "Good"), "Norm")</f>
        <v>Norm</v>
      </c>
      <c r="V176" t="s">
        <v>20</v>
      </c>
      <c r="W176">
        <v>130.5</v>
      </c>
      <c r="X176">
        <v>1</v>
      </c>
      <c r="Y176" s="1">
        <v>45422</v>
      </c>
      <c r="Z176">
        <v>31.25</v>
      </c>
      <c r="AA176" t="str">
        <f>_xlfn.IFNA(_xlfn.IFS(Z176&gt;Dash!$E$46, "Big", Z176&lt;Dash!$E$49, "Small", Z176&gt;Dash!$E$47, "Good"), "Norm")</f>
        <v>Small</v>
      </c>
      <c r="AB176">
        <v>85.25</v>
      </c>
      <c r="AC176" t="str">
        <f>_xlfn.IFNA(_xlfn.IFS(AB176&gt;Dash!$F$46, "Big", AB176&lt;Dash!$F$49, "Small", AB176&gt;Dash!$F$47, "Good"), "Norm")</f>
        <v>Norm</v>
      </c>
      <c r="AD176">
        <v>159.5</v>
      </c>
      <c r="AE176" t="str">
        <f>_xlfn.IFNA(_xlfn.IFS(AD176&gt;Dash!$G$46, "Big", AD176&lt;Dash!$G$49, "Small", AD176&gt;Dash!$G$47, "Good"), "Norm")</f>
        <v>Norm</v>
      </c>
      <c r="AF176">
        <v>63.5</v>
      </c>
      <c r="AG176" t="str">
        <f>_xlfn.IFNA(_xlfn.IFS(AF176&gt;Dash!$H$46, "Big", AF176&lt;Dash!$H$49, "Small", AF176&gt;Dash!$H$47, "Good"), "Norm")</f>
        <v>Small</v>
      </c>
      <c r="AH176">
        <v>17.25</v>
      </c>
      <c r="AI176" t="str">
        <f>_xlfn.IFNA(_xlfn.IFS(AH176&gt;Dash!$I$46, "Big", AH176&lt;Dash!$I$49, "Small", AH176&gt;Dash!$I$47, "Good"), "Norm")</f>
        <v>Small</v>
      </c>
    </row>
    <row r="177" spans="1:35" x14ac:dyDescent="0.25">
      <c r="A177" s="1">
        <v>45425</v>
      </c>
      <c r="B177" t="s">
        <v>23</v>
      </c>
      <c r="C177" t="s">
        <v>24</v>
      </c>
      <c r="D177">
        <v>1</v>
      </c>
      <c r="E177">
        <v>101.25</v>
      </c>
      <c r="J177" t="s">
        <v>34</v>
      </c>
      <c r="K177" t="s">
        <v>31</v>
      </c>
      <c r="L177" t="s">
        <v>35</v>
      </c>
      <c r="M177" t="s">
        <v>19</v>
      </c>
      <c r="N177">
        <v>10</v>
      </c>
      <c r="R177" t="s">
        <v>33</v>
      </c>
      <c r="S177" t="s">
        <v>53</v>
      </c>
      <c r="T177">
        <v>267.5</v>
      </c>
      <c r="U177" t="str">
        <f>_xlfn.IFNA(_xlfn.IFS(E177&gt;Dash!$D$46, "Big", E177&lt;Dash!$D$49, "Small", E177&gt;Dash!$D$47, "Good"), "Norm")</f>
        <v>Small</v>
      </c>
      <c r="V177" t="s">
        <v>33</v>
      </c>
      <c r="W177">
        <v>159.5</v>
      </c>
      <c r="X177" t="s">
        <v>28</v>
      </c>
      <c r="Y177" s="1">
        <v>45425</v>
      </c>
      <c r="Z177">
        <v>69.75</v>
      </c>
      <c r="AA177" t="str">
        <f>_xlfn.IFNA(_xlfn.IFS(Z177&gt;Dash!$E$46, "Big", Z177&lt;Dash!$E$49, "Small", Z177&gt;Dash!$E$47, "Good"), "Norm")</f>
        <v>Norm</v>
      </c>
      <c r="AB177">
        <v>47.25</v>
      </c>
      <c r="AC177" t="str">
        <f>_xlfn.IFNA(_xlfn.IFS(AB177&gt;Dash!$F$46, "Big", AB177&lt;Dash!$F$49, "Small", AB177&gt;Dash!$F$47, "Good"), "Norm")</f>
        <v>Small</v>
      </c>
      <c r="AD177">
        <v>84</v>
      </c>
      <c r="AE177" t="str">
        <f>_xlfn.IFNA(_xlfn.IFS(AD177&gt;Dash!$G$46, "Big", AD177&lt;Dash!$G$49, "Small", AD177&gt;Dash!$G$47, "Good"), "Norm")</f>
        <v>Small</v>
      </c>
      <c r="AF177">
        <v>74.5</v>
      </c>
      <c r="AG177" t="str">
        <f>_xlfn.IFNA(_xlfn.IFS(AF177&gt;Dash!$H$46, "Big", AF177&lt;Dash!$H$49, "Small", AF177&gt;Dash!$H$47, "Good"), "Norm")</f>
        <v>Small</v>
      </c>
      <c r="AH177">
        <v>18.5</v>
      </c>
      <c r="AI177" t="str">
        <f>_xlfn.IFNA(_xlfn.IFS(AH177&gt;Dash!$I$46, "Big", AH177&lt;Dash!$I$49, "Small", AH177&gt;Dash!$I$47, "Good"), "Norm")</f>
        <v>Small</v>
      </c>
    </row>
    <row r="178" spans="1:35" x14ac:dyDescent="0.25">
      <c r="A178" s="1">
        <v>45426</v>
      </c>
      <c r="B178" t="s">
        <v>19</v>
      </c>
      <c r="C178" t="s">
        <v>33</v>
      </c>
      <c r="D178" t="s">
        <v>53</v>
      </c>
      <c r="E178">
        <v>267.5</v>
      </c>
      <c r="F178">
        <v>800</v>
      </c>
      <c r="G178">
        <v>800</v>
      </c>
      <c r="H178">
        <v>1000</v>
      </c>
      <c r="I178">
        <v>1100</v>
      </c>
      <c r="J178" t="s">
        <v>45</v>
      </c>
      <c r="K178" t="s">
        <v>25</v>
      </c>
      <c r="L178" t="s">
        <v>32</v>
      </c>
      <c r="M178" t="s">
        <v>19</v>
      </c>
      <c r="N178">
        <v>10</v>
      </c>
      <c r="R178" t="s">
        <v>20</v>
      </c>
      <c r="S178" t="s">
        <v>28</v>
      </c>
      <c r="T178">
        <v>313.5</v>
      </c>
      <c r="U178" t="str">
        <f>_xlfn.IFNA(_xlfn.IFS(E178&gt;Dash!$D$46, "Big", E178&lt;Dash!$D$49, "Small", E178&gt;Dash!$D$47, "Good"), "Norm")</f>
        <v>Good</v>
      </c>
      <c r="V178" t="s">
        <v>24</v>
      </c>
      <c r="W178">
        <v>101.25</v>
      </c>
      <c r="X178">
        <v>1</v>
      </c>
      <c r="Y178" s="1">
        <v>45426</v>
      </c>
      <c r="Z178">
        <v>27.25</v>
      </c>
      <c r="AA178" t="str">
        <f>_xlfn.IFNA(_xlfn.IFS(Z178&gt;Dash!$E$46, "Big", Z178&lt;Dash!$E$49, "Small", Z178&gt;Dash!$E$47, "Good"), "Norm")</f>
        <v>Small</v>
      </c>
      <c r="AB178">
        <v>28.75</v>
      </c>
      <c r="AC178" t="str">
        <f>_xlfn.IFNA(_xlfn.IFS(AB178&gt;Dash!$F$46, "Big", AB178&lt;Dash!$F$49, "Small", AB178&gt;Dash!$F$47, "Good"), "Norm")</f>
        <v>Small</v>
      </c>
      <c r="AD178">
        <v>205.25</v>
      </c>
      <c r="AE178" t="str">
        <f>_xlfn.IFNA(_xlfn.IFS(AD178&gt;Dash!$G$46, "Big", AD178&lt;Dash!$G$49, "Small", AD178&gt;Dash!$G$47, "Good"), "Norm")</f>
        <v>Good</v>
      </c>
      <c r="AF178">
        <v>135</v>
      </c>
      <c r="AG178" t="str">
        <f>_xlfn.IFNA(_xlfn.IFS(AF178&gt;Dash!$H$46, "Big", AF178&lt;Dash!$H$49, "Small", AF178&gt;Dash!$H$47, "Good"), "Norm")</f>
        <v>Norm</v>
      </c>
      <c r="AH178">
        <v>15.75</v>
      </c>
      <c r="AI178" t="str">
        <f>_xlfn.IFNA(_xlfn.IFS(AH178&gt;Dash!$I$46, "Big", AH178&lt;Dash!$I$49, "Small", AH178&gt;Dash!$I$47, "Good"), "Norm")</f>
        <v>Small</v>
      </c>
    </row>
    <row r="179" spans="1:35" x14ac:dyDescent="0.25">
      <c r="A179" s="1">
        <v>45427</v>
      </c>
      <c r="B179" t="s">
        <v>18</v>
      </c>
      <c r="C179" t="s">
        <v>20</v>
      </c>
      <c r="D179" t="s">
        <v>28</v>
      </c>
      <c r="E179">
        <v>313.5</v>
      </c>
      <c r="F179">
        <v>2200</v>
      </c>
      <c r="G179">
        <v>2200</v>
      </c>
      <c r="J179" t="s">
        <v>29</v>
      </c>
      <c r="K179" t="s">
        <v>39</v>
      </c>
      <c r="L179" t="s">
        <v>32</v>
      </c>
      <c r="M179" t="s">
        <v>19</v>
      </c>
      <c r="N179">
        <v>10</v>
      </c>
      <c r="R179" t="s">
        <v>33</v>
      </c>
      <c r="S179" t="s">
        <v>43</v>
      </c>
      <c r="T179">
        <v>117</v>
      </c>
      <c r="U179" t="str">
        <f>_xlfn.IFNA(_xlfn.IFS(E179&gt;Dash!$D$46, "Big", E179&lt;Dash!$D$49, "Small", E179&gt;Dash!$D$47, "Good"), "Norm")</f>
        <v>Good</v>
      </c>
      <c r="V179" t="s">
        <v>33</v>
      </c>
      <c r="W179">
        <v>267.5</v>
      </c>
      <c r="X179" t="s">
        <v>53</v>
      </c>
      <c r="Y179" s="1">
        <v>45427</v>
      </c>
      <c r="Z179">
        <v>38.5</v>
      </c>
      <c r="AA179" t="str">
        <f>_xlfn.IFNA(_xlfn.IFS(Z179&gt;Dash!$E$46, "Big", Z179&lt;Dash!$E$49, "Small", Z179&gt;Dash!$E$47, "Good"), "Norm")</f>
        <v>Small</v>
      </c>
      <c r="AB179">
        <v>28.25</v>
      </c>
      <c r="AC179" t="str">
        <f>_xlfn.IFNA(_xlfn.IFS(AB179&gt;Dash!$F$46, "Big", AB179&lt;Dash!$F$49, "Small", AB179&gt;Dash!$F$47, "Good"), "Norm")</f>
        <v>Small</v>
      </c>
      <c r="AD179">
        <v>211.5</v>
      </c>
      <c r="AE179" t="str">
        <f>_xlfn.IFNA(_xlfn.IFS(AD179&gt;Dash!$G$46, "Big", AD179&lt;Dash!$G$49, "Small", AD179&gt;Dash!$G$47, "Good"), "Norm")</f>
        <v>Good</v>
      </c>
      <c r="AF179">
        <v>129.75</v>
      </c>
      <c r="AG179" t="str">
        <f>_xlfn.IFNA(_xlfn.IFS(AF179&gt;Dash!$H$46, "Big", AF179&lt;Dash!$H$49, "Small", AF179&gt;Dash!$H$47, "Good"), "Norm")</f>
        <v>Norm</v>
      </c>
      <c r="AH179">
        <v>30</v>
      </c>
      <c r="AI179" t="str">
        <f>_xlfn.IFNA(_xlfn.IFS(AH179&gt;Dash!$I$46, "Big", AH179&lt;Dash!$I$49, "Small", AH179&gt;Dash!$I$47, "Good"), "Norm")</f>
        <v>Norm</v>
      </c>
    </row>
    <row r="180" spans="1:35" x14ac:dyDescent="0.25">
      <c r="A180" s="1">
        <v>45428</v>
      </c>
      <c r="B180" t="s">
        <v>36</v>
      </c>
      <c r="C180" t="s">
        <v>33</v>
      </c>
      <c r="D180" t="s">
        <v>43</v>
      </c>
      <c r="E180">
        <v>117</v>
      </c>
      <c r="F180">
        <v>1800</v>
      </c>
      <c r="G180">
        <v>1800</v>
      </c>
      <c r="J180" t="s">
        <v>29</v>
      </c>
      <c r="K180" t="s">
        <v>35</v>
      </c>
      <c r="L180" t="s">
        <v>42</v>
      </c>
      <c r="M180" t="s">
        <v>19</v>
      </c>
      <c r="N180">
        <v>10</v>
      </c>
      <c r="R180" t="s">
        <v>33</v>
      </c>
      <c r="S180" t="s">
        <v>14</v>
      </c>
      <c r="T180">
        <v>141.75</v>
      </c>
      <c r="U180" t="str">
        <f>_xlfn.IFNA(_xlfn.IFS(E180&gt;Dash!$D$46, "Big", E180&lt;Dash!$D$49, "Small", E180&gt;Dash!$D$47, "Good"), "Norm")</f>
        <v>Small</v>
      </c>
      <c r="V180" t="s">
        <v>20</v>
      </c>
      <c r="W180">
        <v>313.5</v>
      </c>
      <c r="X180" t="s">
        <v>28</v>
      </c>
      <c r="Y180" s="1">
        <v>45428</v>
      </c>
      <c r="Z180">
        <v>51.25</v>
      </c>
      <c r="AA180" t="str">
        <f>_xlfn.IFNA(_xlfn.IFS(Z180&gt;Dash!$E$46, "Big", Z180&lt;Dash!$E$49, "Small", Z180&gt;Dash!$E$47, "Good"), "Norm")</f>
        <v>Norm</v>
      </c>
      <c r="AB180">
        <v>25.75</v>
      </c>
      <c r="AC180" t="str">
        <f>_xlfn.IFNA(_xlfn.IFS(AB180&gt;Dash!$F$46, "Big", AB180&lt;Dash!$F$49, "Small", AB180&gt;Dash!$F$47, "Good"), "Norm")</f>
        <v>Small</v>
      </c>
      <c r="AD180">
        <v>88.75</v>
      </c>
      <c r="AE180" t="str">
        <f>_xlfn.IFNA(_xlfn.IFS(AD180&gt;Dash!$G$46, "Big", AD180&lt;Dash!$G$49, "Small", AD180&gt;Dash!$G$47, "Good"), "Norm")</f>
        <v>Small</v>
      </c>
      <c r="AF180">
        <v>97.25</v>
      </c>
      <c r="AG180" t="str">
        <f>_xlfn.IFNA(_xlfn.IFS(AF180&gt;Dash!$H$46, "Big", AF180&lt;Dash!$H$49, "Small", AF180&gt;Dash!$H$47, "Good"), "Norm")</f>
        <v>Norm</v>
      </c>
      <c r="AH180">
        <v>22.25</v>
      </c>
      <c r="AI180" t="str">
        <f>_xlfn.IFNA(_xlfn.IFS(AH180&gt;Dash!$I$46, "Big", AH180&lt;Dash!$I$49, "Small", AH180&gt;Dash!$I$47, "Good"), "Norm")</f>
        <v>Norm</v>
      </c>
    </row>
    <row r="181" spans="1:35" x14ac:dyDescent="0.25">
      <c r="A181" s="1">
        <v>45429</v>
      </c>
      <c r="B181" t="s">
        <v>26</v>
      </c>
      <c r="C181" t="s">
        <v>33</v>
      </c>
      <c r="D181" t="s">
        <v>14</v>
      </c>
      <c r="E181">
        <v>141.75</v>
      </c>
      <c r="F181">
        <v>400</v>
      </c>
      <c r="G181">
        <v>400</v>
      </c>
      <c r="J181" t="s">
        <v>15</v>
      </c>
      <c r="K181" t="s">
        <v>35</v>
      </c>
      <c r="L181" t="s">
        <v>17</v>
      </c>
      <c r="M181" t="s">
        <v>19</v>
      </c>
      <c r="N181">
        <v>10</v>
      </c>
      <c r="O181" t="s">
        <v>61</v>
      </c>
      <c r="R181" t="s">
        <v>33</v>
      </c>
      <c r="S181" t="s">
        <v>28</v>
      </c>
      <c r="T181">
        <v>159.25</v>
      </c>
      <c r="U181" t="str">
        <f>_xlfn.IFNA(_xlfn.IFS(E181&gt;Dash!$D$46, "Big", E181&lt;Dash!$D$49, "Small", E181&gt;Dash!$D$47, "Good"), "Norm")</f>
        <v>Small</v>
      </c>
      <c r="V181" t="s">
        <v>33</v>
      </c>
      <c r="W181">
        <v>117</v>
      </c>
      <c r="X181" t="s">
        <v>43</v>
      </c>
      <c r="Y181" s="1">
        <v>45429</v>
      </c>
      <c r="Z181">
        <v>28.5</v>
      </c>
      <c r="AA181" t="str">
        <f>_xlfn.IFNA(_xlfn.IFS(Z181&gt;Dash!$E$46, "Big", Z181&lt;Dash!$E$49, "Small", Z181&gt;Dash!$E$47, "Good"), "Norm")</f>
        <v>Small</v>
      </c>
      <c r="AB181">
        <v>60.25</v>
      </c>
      <c r="AC181" t="str">
        <f>_xlfn.IFNA(_xlfn.IFS(AB181&gt;Dash!$F$46, "Big", AB181&lt;Dash!$F$49, "Small", AB181&gt;Dash!$F$47, "Good"), "Norm")</f>
        <v>Norm</v>
      </c>
      <c r="AD181">
        <v>66.25</v>
      </c>
      <c r="AE181" t="str">
        <f>_xlfn.IFNA(_xlfn.IFS(AD181&gt;Dash!$G$46, "Big", AD181&lt;Dash!$G$49, "Small", AD181&gt;Dash!$G$47, "Good"), "Norm")</f>
        <v>Small</v>
      </c>
      <c r="AF181">
        <v>116</v>
      </c>
      <c r="AG181" t="str">
        <f>_xlfn.IFNA(_xlfn.IFS(AF181&gt;Dash!$H$46, "Big", AF181&lt;Dash!$H$49, "Small", AF181&gt;Dash!$H$47, "Good"), "Norm")</f>
        <v>Norm</v>
      </c>
      <c r="AH181">
        <v>19</v>
      </c>
      <c r="AI181" t="str">
        <f>_xlfn.IFNA(_xlfn.IFS(AH181&gt;Dash!$I$46, "Big", AH181&lt;Dash!$I$49, "Small", AH181&gt;Dash!$I$47, "Good"), "Norm")</f>
        <v>Small</v>
      </c>
    </row>
    <row r="182" spans="1:35" x14ac:dyDescent="0.25">
      <c r="A182" s="1">
        <v>45432</v>
      </c>
      <c r="B182" t="s">
        <v>23</v>
      </c>
      <c r="C182" t="s">
        <v>33</v>
      </c>
      <c r="D182" t="s">
        <v>28</v>
      </c>
      <c r="E182">
        <v>159.25</v>
      </c>
      <c r="F182">
        <v>700</v>
      </c>
      <c r="G182">
        <v>700</v>
      </c>
      <c r="J182" t="s">
        <v>30</v>
      </c>
      <c r="K182" t="s">
        <v>25</v>
      </c>
      <c r="L182" t="s">
        <v>32</v>
      </c>
      <c r="M182" t="s">
        <v>18</v>
      </c>
      <c r="N182">
        <v>5</v>
      </c>
      <c r="R182" t="s">
        <v>33</v>
      </c>
      <c r="S182" t="s">
        <v>28</v>
      </c>
      <c r="T182">
        <v>130.75</v>
      </c>
      <c r="U182" t="str">
        <f>_xlfn.IFNA(_xlfn.IFS(E182&gt;Dash!$D$46, "Big", E182&lt;Dash!$D$49, "Small", E182&gt;Dash!$D$47, "Good"), "Norm")</f>
        <v>Norm</v>
      </c>
      <c r="V182" t="s">
        <v>33</v>
      </c>
      <c r="W182">
        <v>141.75</v>
      </c>
      <c r="X182" t="s">
        <v>14</v>
      </c>
      <c r="Y182" s="1">
        <v>45432</v>
      </c>
      <c r="Z182">
        <v>46.25</v>
      </c>
      <c r="AA182" t="str">
        <f>_xlfn.IFNA(_xlfn.IFS(Z182&gt;Dash!$E$46, "Big", Z182&lt;Dash!$E$49, "Small", Z182&gt;Dash!$E$47, "Good"), "Norm")</f>
        <v>Norm</v>
      </c>
      <c r="AB182">
        <v>35.75</v>
      </c>
      <c r="AC182" t="str">
        <f>_xlfn.IFNA(_xlfn.IFS(AB182&gt;Dash!$F$46, "Big", AB182&lt;Dash!$F$49, "Small", AB182&gt;Dash!$F$47, "Good"), "Norm")</f>
        <v>Small</v>
      </c>
      <c r="AD182">
        <v>136.75</v>
      </c>
      <c r="AE182" t="str">
        <f>_xlfn.IFNA(_xlfn.IFS(AD182&gt;Dash!$G$46, "Big", AD182&lt;Dash!$G$49, "Small", AD182&gt;Dash!$G$47, "Good"), "Norm")</f>
        <v>Norm</v>
      </c>
      <c r="AF182">
        <v>87.5</v>
      </c>
      <c r="AG182" t="str">
        <f>_xlfn.IFNA(_xlfn.IFS(AF182&gt;Dash!$H$46, "Big", AF182&lt;Dash!$H$49, "Small", AF182&gt;Dash!$H$47, "Good"), "Norm")</f>
        <v>Small</v>
      </c>
      <c r="AH182">
        <v>36.5</v>
      </c>
      <c r="AI182" t="str">
        <f>_xlfn.IFNA(_xlfn.IFS(AH182&gt;Dash!$I$46, "Big", AH182&lt;Dash!$I$49, "Small", AH182&gt;Dash!$I$47, "Good"), "Norm")</f>
        <v>Norm</v>
      </c>
    </row>
    <row r="183" spans="1:35" x14ac:dyDescent="0.25">
      <c r="A183" s="1">
        <v>45433</v>
      </c>
      <c r="B183" t="s">
        <v>19</v>
      </c>
      <c r="C183" t="s">
        <v>33</v>
      </c>
      <c r="D183" t="s">
        <v>28</v>
      </c>
      <c r="E183">
        <v>130.75</v>
      </c>
      <c r="F183">
        <v>1500</v>
      </c>
      <c r="J183" t="s">
        <v>49</v>
      </c>
      <c r="K183" t="s">
        <v>25</v>
      </c>
      <c r="L183" t="s">
        <v>32</v>
      </c>
      <c r="M183" t="s">
        <v>18</v>
      </c>
      <c r="N183">
        <v>5</v>
      </c>
      <c r="R183" t="s">
        <v>33</v>
      </c>
      <c r="S183" t="s">
        <v>28</v>
      </c>
      <c r="T183">
        <v>154.5</v>
      </c>
      <c r="U183" t="str">
        <f>_xlfn.IFNA(_xlfn.IFS(E183&gt;Dash!$D$46, "Big", E183&lt;Dash!$D$49, "Small", E183&gt;Dash!$D$47, "Good"), "Norm")</f>
        <v>Small</v>
      </c>
      <c r="V183" t="s">
        <v>33</v>
      </c>
      <c r="W183">
        <v>159.25</v>
      </c>
      <c r="X183" t="s">
        <v>28</v>
      </c>
      <c r="Y183" s="1">
        <v>45433</v>
      </c>
      <c r="Z183">
        <v>18.5</v>
      </c>
      <c r="AA183" t="str">
        <f>_xlfn.IFNA(_xlfn.IFS(Z183&gt;Dash!$E$46, "Big", Z183&lt;Dash!$E$49, "Small", Z183&gt;Dash!$E$47, "Good"), "Norm")</f>
        <v>Small</v>
      </c>
      <c r="AB183">
        <v>34.25</v>
      </c>
      <c r="AC183" t="str">
        <f>_xlfn.IFNA(_xlfn.IFS(AB183&gt;Dash!$F$46, "Big", AB183&lt;Dash!$F$49, "Small", AB183&gt;Dash!$F$47, "Good"), "Norm")</f>
        <v>Small</v>
      </c>
      <c r="AD183">
        <v>85.5</v>
      </c>
      <c r="AE183" t="str">
        <f>_xlfn.IFNA(_xlfn.IFS(AD183&gt;Dash!$G$46, "Big", AD183&lt;Dash!$G$49, "Small", AD183&gt;Dash!$G$47, "Good"), "Norm")</f>
        <v>Small</v>
      </c>
      <c r="AF183">
        <v>74.75</v>
      </c>
      <c r="AG183" t="str">
        <f>_xlfn.IFNA(_xlfn.IFS(AF183&gt;Dash!$H$46, "Big", AF183&lt;Dash!$H$49, "Small", AF183&gt;Dash!$H$47, "Good"), "Norm")</f>
        <v>Small</v>
      </c>
      <c r="AH183">
        <v>14</v>
      </c>
      <c r="AI183" t="str">
        <f>_xlfn.IFNA(_xlfn.IFS(AH183&gt;Dash!$I$46, "Big", AH183&lt;Dash!$I$49, "Small", AH183&gt;Dash!$I$47, "Good"), "Norm")</f>
        <v>Small</v>
      </c>
    </row>
    <row r="184" spans="1:35" x14ac:dyDescent="0.25">
      <c r="A184" s="1">
        <v>45434</v>
      </c>
      <c r="B184" t="s">
        <v>18</v>
      </c>
      <c r="C184" t="s">
        <v>33</v>
      </c>
      <c r="D184" t="s">
        <v>28</v>
      </c>
      <c r="E184">
        <v>154.5</v>
      </c>
      <c r="F184">
        <v>1800</v>
      </c>
      <c r="G184">
        <v>200</v>
      </c>
      <c r="J184" t="s">
        <v>29</v>
      </c>
      <c r="K184" t="s">
        <v>17</v>
      </c>
      <c r="L184" t="s">
        <v>44</v>
      </c>
      <c r="M184" t="s">
        <v>18</v>
      </c>
      <c r="N184">
        <v>5</v>
      </c>
      <c r="O184" t="s">
        <v>66</v>
      </c>
      <c r="R184" t="s">
        <v>33</v>
      </c>
      <c r="S184" t="s">
        <v>48</v>
      </c>
      <c r="T184">
        <v>401.75</v>
      </c>
      <c r="U184" t="str">
        <f>_xlfn.IFNA(_xlfn.IFS(E184&gt;Dash!$D$46, "Big", E184&lt;Dash!$D$49, "Small", E184&gt;Dash!$D$47, "Good"), "Norm")</f>
        <v>Small</v>
      </c>
      <c r="V184" t="s">
        <v>33</v>
      </c>
      <c r="W184">
        <v>130.75</v>
      </c>
      <c r="X184" t="s">
        <v>28</v>
      </c>
      <c r="Y184" s="1">
        <v>45434</v>
      </c>
      <c r="Z184">
        <v>28.5</v>
      </c>
      <c r="AA184" t="str">
        <f>_xlfn.IFNA(_xlfn.IFS(Z184&gt;Dash!$E$46, "Big", Z184&lt;Dash!$E$49, "Small", Z184&gt;Dash!$E$47, "Good"), "Norm")</f>
        <v>Small</v>
      </c>
      <c r="AB184">
        <v>65.75</v>
      </c>
      <c r="AC184" t="str">
        <f>_xlfn.IFNA(_xlfn.IFS(AB184&gt;Dash!$F$46, "Big", AB184&lt;Dash!$F$49, "Small", AB184&gt;Dash!$F$47, "Good"), "Norm")</f>
        <v>Norm</v>
      </c>
      <c r="AD184">
        <v>52.5</v>
      </c>
      <c r="AE184" t="str">
        <f>_xlfn.IFNA(_xlfn.IFS(AD184&gt;Dash!$G$46, "Big", AD184&lt;Dash!$G$49, "Small", AD184&gt;Dash!$G$47, "Good"), "Norm")</f>
        <v>Small</v>
      </c>
      <c r="AF184">
        <v>148.25</v>
      </c>
      <c r="AG184" t="str">
        <f>_xlfn.IFNA(_xlfn.IFS(AF184&gt;Dash!$H$46, "Big", AF184&lt;Dash!$H$49, "Small", AF184&gt;Dash!$H$47, "Good"), "Norm")</f>
        <v>Norm</v>
      </c>
      <c r="AH184">
        <v>199.75</v>
      </c>
      <c r="AI184" t="str">
        <f>_xlfn.IFNA(_xlfn.IFS(AH184&gt;Dash!$I$46, "Big", AH184&lt;Dash!$I$49, "Small", AH184&gt;Dash!$I$47, "Good"), "Norm")</f>
        <v>Big</v>
      </c>
    </row>
    <row r="185" spans="1:35" x14ac:dyDescent="0.25">
      <c r="A185" s="1">
        <v>45435</v>
      </c>
      <c r="B185" t="s">
        <v>36</v>
      </c>
      <c r="C185" t="s">
        <v>33</v>
      </c>
      <c r="D185" t="s">
        <v>48</v>
      </c>
      <c r="E185">
        <v>401.75</v>
      </c>
      <c r="F185">
        <v>2100</v>
      </c>
      <c r="G185">
        <v>900</v>
      </c>
      <c r="H185">
        <v>1400</v>
      </c>
      <c r="I185">
        <v>1500</v>
      </c>
      <c r="J185" t="s">
        <v>29</v>
      </c>
      <c r="K185" t="s">
        <v>35</v>
      </c>
      <c r="L185" t="s">
        <v>17</v>
      </c>
      <c r="M185" t="s">
        <v>18</v>
      </c>
      <c r="N185">
        <v>5</v>
      </c>
      <c r="R185" t="s">
        <v>13</v>
      </c>
      <c r="S185">
        <v>1</v>
      </c>
      <c r="T185">
        <v>202.5</v>
      </c>
      <c r="U185" t="str">
        <f>_xlfn.IFNA(_xlfn.IFS(E185&gt;Dash!$D$46, "Big", E185&lt;Dash!$D$49, "Small", E185&gt;Dash!$D$47, "Good"), "Norm")</f>
        <v>Good</v>
      </c>
      <c r="V185" t="s">
        <v>33</v>
      </c>
      <c r="W185">
        <v>154.5</v>
      </c>
      <c r="X185" t="s">
        <v>28</v>
      </c>
      <c r="Y185" s="1">
        <v>45435</v>
      </c>
      <c r="Z185">
        <v>127.25</v>
      </c>
      <c r="AA185" t="str">
        <f>_xlfn.IFNA(_xlfn.IFS(Z185&gt;Dash!$E$46, "Big", Z185&lt;Dash!$E$49, "Small", Z185&gt;Dash!$E$47, "Good"), "Norm")</f>
        <v>Good</v>
      </c>
      <c r="AB185">
        <v>62.75</v>
      </c>
      <c r="AC185" t="str">
        <f>_xlfn.IFNA(_xlfn.IFS(AB185&gt;Dash!$F$46, "Big", AB185&lt;Dash!$F$49, "Small", AB185&gt;Dash!$F$47, "Good"), "Norm")</f>
        <v>Norm</v>
      </c>
      <c r="AD185">
        <v>221.25</v>
      </c>
      <c r="AE185" t="str">
        <f>_xlfn.IFNA(_xlfn.IFS(AD185&gt;Dash!$G$46, "Big", AD185&lt;Dash!$G$49, "Small", AD185&gt;Dash!$G$47, "Good"), "Norm")</f>
        <v>Good</v>
      </c>
      <c r="AF185">
        <v>312</v>
      </c>
      <c r="AG185" t="str">
        <f>_xlfn.IFNA(_xlfn.IFS(AF185&gt;Dash!$H$46, "Big", AF185&lt;Dash!$H$49, "Small", AF185&gt;Dash!$H$47, "Good"), "Norm")</f>
        <v>Big</v>
      </c>
      <c r="AH185">
        <v>24.75</v>
      </c>
      <c r="AI185" t="str">
        <f>_xlfn.IFNA(_xlfn.IFS(AH185&gt;Dash!$I$46, "Big", AH185&lt;Dash!$I$49, "Small", AH185&gt;Dash!$I$47, "Good"), "Norm")</f>
        <v>Norm</v>
      </c>
    </row>
    <row r="186" spans="1:35" x14ac:dyDescent="0.25">
      <c r="A186" s="1">
        <v>45436</v>
      </c>
      <c r="B186" t="s">
        <v>26</v>
      </c>
      <c r="C186" t="s">
        <v>13</v>
      </c>
      <c r="D186">
        <v>1</v>
      </c>
      <c r="E186">
        <v>202.5</v>
      </c>
      <c r="J186" t="s">
        <v>34</v>
      </c>
      <c r="K186" t="s">
        <v>31</v>
      </c>
      <c r="L186" t="s">
        <v>32</v>
      </c>
      <c r="M186" t="s">
        <v>18</v>
      </c>
      <c r="N186">
        <v>5</v>
      </c>
      <c r="R186" t="s">
        <v>20</v>
      </c>
      <c r="S186" t="s">
        <v>53</v>
      </c>
      <c r="T186">
        <v>126</v>
      </c>
      <c r="U186" t="str">
        <f>_xlfn.IFNA(_xlfn.IFS(E186&gt;Dash!$D$46, "Big", E186&lt;Dash!$D$49, "Small", E186&gt;Dash!$D$47, "Good"), "Norm")</f>
        <v>Norm</v>
      </c>
      <c r="V186" t="s">
        <v>33</v>
      </c>
      <c r="W186">
        <v>401.75</v>
      </c>
      <c r="X186" t="s">
        <v>48</v>
      </c>
      <c r="Y186" s="1">
        <v>45436</v>
      </c>
      <c r="Z186">
        <v>51.25</v>
      </c>
      <c r="AA186" t="str">
        <f>_xlfn.IFNA(_xlfn.IFS(Z186&gt;Dash!$E$46, "Big", Z186&lt;Dash!$E$49, "Small", Z186&gt;Dash!$E$47, "Good"), "Norm")</f>
        <v>Norm</v>
      </c>
      <c r="AB186">
        <v>79.25</v>
      </c>
      <c r="AC186" t="str">
        <f>_xlfn.IFNA(_xlfn.IFS(AB186&gt;Dash!$F$46, "Big", AB186&lt;Dash!$F$49, "Small", AB186&gt;Dash!$F$47, "Good"), "Norm")</f>
        <v>Norm</v>
      </c>
      <c r="AD186">
        <v>195.5</v>
      </c>
      <c r="AE186" t="str">
        <f>_xlfn.IFNA(_xlfn.IFS(AD186&gt;Dash!$G$46, "Big", AD186&lt;Dash!$G$49, "Small", AD186&gt;Dash!$G$47, "Good"), "Norm")</f>
        <v>Norm</v>
      </c>
      <c r="AF186">
        <v>90.5</v>
      </c>
      <c r="AG186" t="str">
        <f>_xlfn.IFNA(_xlfn.IFS(AF186&gt;Dash!$H$46, "Big", AF186&lt;Dash!$H$49, "Small", AF186&gt;Dash!$H$47, "Good"), "Norm")</f>
        <v>Small</v>
      </c>
      <c r="AH186">
        <v>14.75</v>
      </c>
      <c r="AI186" t="str">
        <f>_xlfn.IFNA(_xlfn.IFS(AH186&gt;Dash!$I$46, "Big", AH186&lt;Dash!$I$49, "Small", AH186&gt;Dash!$I$47, "Good"), "Norm")</f>
        <v>Small</v>
      </c>
    </row>
    <row r="187" spans="1:35" x14ac:dyDescent="0.25">
      <c r="A187" s="1">
        <v>45440</v>
      </c>
      <c r="B187" t="s">
        <v>19</v>
      </c>
      <c r="C187" t="s">
        <v>20</v>
      </c>
      <c r="D187" t="s">
        <v>53</v>
      </c>
      <c r="E187">
        <v>126</v>
      </c>
      <c r="F187">
        <v>400</v>
      </c>
      <c r="G187">
        <v>600</v>
      </c>
      <c r="H187">
        <v>1400</v>
      </c>
      <c r="I187">
        <v>1500</v>
      </c>
      <c r="J187" t="s">
        <v>29</v>
      </c>
      <c r="K187" t="s">
        <v>22</v>
      </c>
      <c r="L187" t="s">
        <v>17</v>
      </c>
      <c r="M187" t="s">
        <v>19</v>
      </c>
      <c r="N187">
        <v>5</v>
      </c>
      <c r="R187" t="s">
        <v>13</v>
      </c>
      <c r="S187" t="s">
        <v>14</v>
      </c>
      <c r="T187">
        <v>124.5</v>
      </c>
      <c r="U187" t="str">
        <f>_xlfn.IFNA(_xlfn.IFS(E187&gt;Dash!$D$46, "Big", E187&lt;Dash!$D$49, "Small", E187&gt;Dash!$D$47, "Good"), "Norm")</f>
        <v>Small</v>
      </c>
      <c r="V187" t="s">
        <v>13</v>
      </c>
      <c r="W187">
        <v>202.5</v>
      </c>
      <c r="X187">
        <v>1</v>
      </c>
      <c r="Y187" s="1">
        <v>45440</v>
      </c>
      <c r="Z187">
        <v>69.75</v>
      </c>
      <c r="AA187" t="str">
        <f>_xlfn.IFNA(_xlfn.IFS(Z187&gt;Dash!$E$46, "Big", Z187&lt;Dash!$E$49, "Small", Z187&gt;Dash!$E$47, "Good"), "Norm")</f>
        <v>Norm</v>
      </c>
      <c r="AB187">
        <v>71.25</v>
      </c>
      <c r="AC187" t="str">
        <f>_xlfn.IFNA(_xlfn.IFS(AB187&gt;Dash!$F$46, "Big", AB187&lt;Dash!$F$49, "Small", AB187&gt;Dash!$F$47, "Good"), "Norm")</f>
        <v>Norm</v>
      </c>
      <c r="AD187">
        <v>100.5</v>
      </c>
      <c r="AE187" t="str">
        <f>_xlfn.IFNA(_xlfn.IFS(AD187&gt;Dash!$G$46, "Big", AD187&lt;Dash!$G$49, "Small", AD187&gt;Dash!$G$47, "Good"), "Norm")</f>
        <v>Small</v>
      </c>
      <c r="AF187">
        <v>126</v>
      </c>
      <c r="AG187" t="str">
        <f>_xlfn.IFNA(_xlfn.IFS(AF187&gt;Dash!$H$46, "Big", AF187&lt;Dash!$H$49, "Small", AF187&gt;Dash!$H$47, "Good"), "Norm")</f>
        <v>Norm</v>
      </c>
      <c r="AH187">
        <v>24.75</v>
      </c>
      <c r="AI187" t="str">
        <f>_xlfn.IFNA(_xlfn.IFS(AH187&gt;Dash!$I$46, "Big", AH187&lt;Dash!$I$49, "Small", AH187&gt;Dash!$I$47, "Good"), "Norm")</f>
        <v>Norm</v>
      </c>
    </row>
    <row r="188" spans="1:35" x14ac:dyDescent="0.25">
      <c r="A188" s="1">
        <v>45441</v>
      </c>
      <c r="B188" t="s">
        <v>18</v>
      </c>
      <c r="C188" t="s">
        <v>13</v>
      </c>
      <c r="D188" t="s">
        <v>14</v>
      </c>
      <c r="E188">
        <v>124.5</v>
      </c>
      <c r="F188">
        <v>400</v>
      </c>
      <c r="G188">
        <v>900</v>
      </c>
      <c r="J188" t="s">
        <v>15</v>
      </c>
      <c r="K188" t="s">
        <v>16</v>
      </c>
      <c r="L188" t="s">
        <v>42</v>
      </c>
      <c r="M188" t="s">
        <v>19</v>
      </c>
      <c r="N188">
        <v>5</v>
      </c>
      <c r="R188" t="s">
        <v>33</v>
      </c>
      <c r="S188" t="s">
        <v>14</v>
      </c>
      <c r="T188">
        <v>240.75</v>
      </c>
      <c r="U188" t="str">
        <f>_xlfn.IFNA(_xlfn.IFS(E188&gt;Dash!$D$46, "Big", E188&lt;Dash!$D$49, "Small", E188&gt;Dash!$D$47, "Good"), "Norm")</f>
        <v>Small</v>
      </c>
      <c r="V188" t="s">
        <v>20</v>
      </c>
      <c r="W188">
        <v>126</v>
      </c>
      <c r="X188" t="s">
        <v>53</v>
      </c>
      <c r="Y188" s="1">
        <v>45441</v>
      </c>
      <c r="Z188">
        <v>93</v>
      </c>
      <c r="AA188" t="str">
        <f>_xlfn.IFNA(_xlfn.IFS(Z188&gt;Dash!$E$46, "Big", Z188&lt;Dash!$E$49, "Small", Z188&gt;Dash!$E$47, "Good"), "Norm")</f>
        <v>Good</v>
      </c>
      <c r="AB188">
        <v>93.5</v>
      </c>
      <c r="AC188" t="str">
        <f>_xlfn.IFNA(_xlfn.IFS(AB188&gt;Dash!$F$46, "Big", AB188&lt;Dash!$F$49, "Small", AB188&gt;Dash!$F$47, "Good"), "Norm")</f>
        <v>Norm</v>
      </c>
      <c r="AD188">
        <v>124.5</v>
      </c>
      <c r="AE188" t="str">
        <f>_xlfn.IFNA(_xlfn.IFS(AD188&gt;Dash!$G$46, "Big", AD188&lt;Dash!$G$49, "Small", AD188&gt;Dash!$G$47, "Good"), "Norm")</f>
        <v>Norm</v>
      </c>
      <c r="AF188">
        <v>93</v>
      </c>
      <c r="AG188" t="str">
        <f>_xlfn.IFNA(_xlfn.IFS(AF188&gt;Dash!$H$46, "Big", AF188&lt;Dash!$H$49, "Small", AF188&gt;Dash!$H$47, "Good"), "Norm")</f>
        <v>Norm</v>
      </c>
      <c r="AH188">
        <v>75.75</v>
      </c>
      <c r="AI188" t="str">
        <f>_xlfn.IFNA(_xlfn.IFS(AH188&gt;Dash!$I$46, "Big", AH188&lt;Dash!$I$49, "Small", AH188&gt;Dash!$I$47, "Good"), "Norm")</f>
        <v>Good</v>
      </c>
    </row>
    <row r="189" spans="1:35" x14ac:dyDescent="0.25">
      <c r="A189" s="1">
        <v>45442</v>
      </c>
      <c r="B189" t="s">
        <v>36</v>
      </c>
      <c r="C189" t="s">
        <v>33</v>
      </c>
      <c r="D189" t="s">
        <v>14</v>
      </c>
      <c r="E189">
        <v>240.75</v>
      </c>
      <c r="F189">
        <v>1800</v>
      </c>
      <c r="G189">
        <v>600</v>
      </c>
      <c r="J189" t="s">
        <v>37</v>
      </c>
      <c r="K189" t="s">
        <v>35</v>
      </c>
      <c r="L189" t="s">
        <v>17</v>
      </c>
      <c r="M189" t="s">
        <v>19</v>
      </c>
      <c r="N189">
        <v>5</v>
      </c>
      <c r="R189" t="s">
        <v>33</v>
      </c>
      <c r="S189" t="s">
        <v>46</v>
      </c>
      <c r="T189">
        <v>427</v>
      </c>
      <c r="U189" t="str">
        <f>_xlfn.IFNA(_xlfn.IFS(E189&gt;Dash!$D$46, "Big", E189&lt;Dash!$D$49, "Small", E189&gt;Dash!$D$47, "Good"), "Norm")</f>
        <v>Norm</v>
      </c>
      <c r="V189" t="s">
        <v>13</v>
      </c>
      <c r="W189">
        <v>124.5</v>
      </c>
      <c r="X189" t="s">
        <v>14</v>
      </c>
      <c r="Y189" s="1">
        <v>45442</v>
      </c>
      <c r="Z189">
        <v>105.5</v>
      </c>
      <c r="AA189" t="str">
        <f>_xlfn.IFNA(_xlfn.IFS(Z189&gt;Dash!$E$46, "Big", Z189&lt;Dash!$E$49, "Small", Z189&gt;Dash!$E$47, "Good"), "Norm")</f>
        <v>Good</v>
      </c>
      <c r="AB189">
        <v>103.5</v>
      </c>
      <c r="AC189" t="str">
        <f>_xlfn.IFNA(_xlfn.IFS(AB189&gt;Dash!$F$46, "Big", AB189&lt;Dash!$F$49, "Small", AB189&gt;Dash!$F$47, "Good"), "Norm")</f>
        <v>Good</v>
      </c>
      <c r="AD189">
        <v>163.25</v>
      </c>
      <c r="AE189" t="str">
        <f>_xlfn.IFNA(_xlfn.IFS(AD189&gt;Dash!$G$46, "Big", AD189&lt;Dash!$G$49, "Small", AD189&gt;Dash!$G$47, "Good"), "Norm")</f>
        <v>Norm</v>
      </c>
      <c r="AF189">
        <v>182.75</v>
      </c>
      <c r="AG189" t="str">
        <f>_xlfn.IFNA(_xlfn.IFS(AF189&gt;Dash!$H$46, "Big", AF189&lt;Dash!$H$49, "Small", AF189&gt;Dash!$H$47, "Good"), "Norm")</f>
        <v>Good</v>
      </c>
      <c r="AH189">
        <v>55.5</v>
      </c>
      <c r="AI189" t="str">
        <f>_xlfn.IFNA(_xlfn.IFS(AH189&gt;Dash!$I$46, "Big", AH189&lt;Dash!$I$49, "Small", AH189&gt;Dash!$I$47, "Good"), "Norm")</f>
        <v>Good</v>
      </c>
    </row>
    <row r="190" spans="1:35" x14ac:dyDescent="0.25">
      <c r="A190" s="1">
        <v>45443</v>
      </c>
      <c r="B190" t="s">
        <v>26</v>
      </c>
      <c r="C190" t="s">
        <v>33</v>
      </c>
      <c r="D190" t="s">
        <v>46</v>
      </c>
      <c r="E190">
        <v>427</v>
      </c>
      <c r="F190">
        <v>2000</v>
      </c>
      <c r="G190">
        <v>2100</v>
      </c>
      <c r="J190" t="s">
        <v>37</v>
      </c>
      <c r="K190" t="s">
        <v>35</v>
      </c>
      <c r="L190" t="s">
        <v>17</v>
      </c>
      <c r="M190" t="s">
        <v>19</v>
      </c>
      <c r="N190">
        <v>5</v>
      </c>
      <c r="R190" t="s">
        <v>33</v>
      </c>
      <c r="S190" t="s">
        <v>28</v>
      </c>
      <c r="T190">
        <v>319.75</v>
      </c>
      <c r="U190" t="str">
        <f>_xlfn.IFNA(_xlfn.IFS(E190&gt;Dash!$D$46, "Big", E190&lt;Dash!$D$49, "Small", E190&gt;Dash!$D$47, "Good"), "Norm")</f>
        <v>Big</v>
      </c>
      <c r="V190" t="s">
        <v>33</v>
      </c>
      <c r="W190">
        <v>240.75</v>
      </c>
      <c r="X190" t="s">
        <v>14</v>
      </c>
      <c r="Y190" s="1">
        <v>45443</v>
      </c>
      <c r="Z190">
        <v>90</v>
      </c>
      <c r="AA190" t="str">
        <f>_xlfn.IFNA(_xlfn.IFS(Z190&gt;Dash!$E$46, "Big", Z190&lt;Dash!$E$49, "Small", Z190&gt;Dash!$E$47, "Good"), "Norm")</f>
        <v>Good</v>
      </c>
      <c r="AB190">
        <v>87.75</v>
      </c>
      <c r="AC190" t="str">
        <f>_xlfn.IFNA(_xlfn.IFS(AB190&gt;Dash!$F$46, "Big", AB190&lt;Dash!$F$49, "Small", AB190&gt;Dash!$F$47, "Good"), "Norm")</f>
        <v>Norm</v>
      </c>
      <c r="AD190">
        <v>373.5</v>
      </c>
      <c r="AE190" t="str">
        <f>_xlfn.IFNA(_xlfn.IFS(AD190&gt;Dash!$G$46, "Big", AD190&lt;Dash!$G$49, "Small", AD190&gt;Dash!$G$47, "Good"), "Norm")</f>
        <v>Big</v>
      </c>
      <c r="AF190">
        <v>359.75</v>
      </c>
      <c r="AG190" t="str">
        <f>_xlfn.IFNA(_xlfn.IFS(AF190&gt;Dash!$H$46, "Big", AF190&lt;Dash!$H$49, "Small", AF190&gt;Dash!$H$47, "Good"), "Norm")</f>
        <v>Big</v>
      </c>
      <c r="AH190">
        <v>57</v>
      </c>
      <c r="AI190" t="str">
        <f>_xlfn.IFNA(_xlfn.IFS(AH190&gt;Dash!$I$46, "Big", AH190&lt;Dash!$I$49, "Small", AH190&gt;Dash!$I$47, "Good"), "Norm")</f>
        <v>Good</v>
      </c>
    </row>
    <row r="191" spans="1:35" x14ac:dyDescent="0.25">
      <c r="A191" s="1">
        <v>45446</v>
      </c>
      <c r="B191" t="s">
        <v>23</v>
      </c>
      <c r="C191" t="s">
        <v>33</v>
      </c>
      <c r="D191" t="s">
        <v>28</v>
      </c>
      <c r="E191">
        <v>319.75</v>
      </c>
      <c r="F191">
        <v>200</v>
      </c>
      <c r="G191">
        <v>200</v>
      </c>
      <c r="J191" t="s">
        <v>30</v>
      </c>
      <c r="K191" t="s">
        <v>35</v>
      </c>
      <c r="L191" t="s">
        <v>17</v>
      </c>
      <c r="M191" t="s">
        <v>23</v>
      </c>
      <c r="N191">
        <v>9</v>
      </c>
      <c r="R191" t="s">
        <v>20</v>
      </c>
      <c r="S191">
        <v>1</v>
      </c>
      <c r="T191">
        <v>191</v>
      </c>
      <c r="U191" t="str">
        <f>_xlfn.IFNA(_xlfn.IFS(E191&gt;Dash!$D$46, "Big", E191&lt;Dash!$D$49, "Small", E191&gt;Dash!$D$47, "Good"), "Norm")</f>
        <v>Good</v>
      </c>
      <c r="V191" t="s">
        <v>33</v>
      </c>
      <c r="W191">
        <v>427</v>
      </c>
      <c r="X191" t="s">
        <v>46</v>
      </c>
      <c r="Y191" s="1">
        <v>45446</v>
      </c>
      <c r="Z191">
        <v>117.75</v>
      </c>
      <c r="AA191" t="str">
        <f>_xlfn.IFNA(_xlfn.IFS(Z191&gt;Dash!$E$46, "Big", Z191&lt;Dash!$E$49, "Small", Z191&gt;Dash!$E$47, "Good"), "Norm")</f>
        <v>Good</v>
      </c>
      <c r="AB191">
        <v>68.75</v>
      </c>
      <c r="AC191" t="str">
        <f>_xlfn.IFNA(_xlfn.IFS(AB191&gt;Dash!$F$46, "Big", AB191&lt;Dash!$F$49, "Small", AB191&gt;Dash!$F$47, "Good"), "Norm")</f>
        <v>Norm</v>
      </c>
      <c r="AD191">
        <v>191.25</v>
      </c>
      <c r="AE191" t="str">
        <f>_xlfn.IFNA(_xlfn.IFS(AD191&gt;Dash!$G$46, "Big", AD191&lt;Dash!$G$49, "Small", AD191&gt;Dash!$G$47, "Good"), "Norm")</f>
        <v>Norm</v>
      </c>
      <c r="AF191">
        <v>219</v>
      </c>
      <c r="AG191" t="str">
        <f>_xlfn.IFNA(_xlfn.IFS(AF191&gt;Dash!$H$46, "Big", AF191&lt;Dash!$H$49, "Small", AF191&gt;Dash!$H$47, "Good"), "Norm")</f>
        <v>Good</v>
      </c>
      <c r="AH191">
        <v>29.25</v>
      </c>
      <c r="AI191" t="str">
        <f>_xlfn.IFNA(_xlfn.IFS(AH191&gt;Dash!$I$46, "Big", AH191&lt;Dash!$I$49, "Small", AH191&gt;Dash!$I$47, "Good"), "Norm")</f>
        <v>Norm</v>
      </c>
    </row>
    <row r="192" spans="1:35" x14ac:dyDescent="0.25">
      <c r="A192" s="1">
        <v>45447</v>
      </c>
      <c r="B192" t="s">
        <v>19</v>
      </c>
      <c r="C192" t="s">
        <v>20</v>
      </c>
      <c r="D192">
        <v>1</v>
      </c>
      <c r="E192">
        <v>191</v>
      </c>
      <c r="J192" t="s">
        <v>34</v>
      </c>
      <c r="K192" t="s">
        <v>39</v>
      </c>
      <c r="L192" t="s">
        <v>32</v>
      </c>
      <c r="M192" t="s">
        <v>23</v>
      </c>
      <c r="N192">
        <v>9</v>
      </c>
      <c r="R192" t="s">
        <v>13</v>
      </c>
      <c r="S192" t="s">
        <v>28</v>
      </c>
      <c r="T192">
        <v>301.5</v>
      </c>
      <c r="U192" t="str">
        <f>_xlfn.IFNA(_xlfn.IFS(E192&gt;Dash!$D$46, "Big", E192&lt;Dash!$D$49, "Small", E192&gt;Dash!$D$47, "Good"), "Norm")</f>
        <v>Norm</v>
      </c>
      <c r="V192" t="s">
        <v>33</v>
      </c>
      <c r="W192">
        <v>319.75</v>
      </c>
      <c r="X192" t="s">
        <v>28</v>
      </c>
      <c r="Y192" s="1">
        <v>45447</v>
      </c>
      <c r="Z192">
        <v>40</v>
      </c>
      <c r="AA192" t="str">
        <f>_xlfn.IFNA(_xlfn.IFS(Z192&gt;Dash!$E$46, "Big", Z192&lt;Dash!$E$49, "Small", Z192&gt;Dash!$E$47, "Good"), "Norm")</f>
        <v>Small</v>
      </c>
      <c r="AB192">
        <v>136.5</v>
      </c>
      <c r="AC192" t="str">
        <f>_xlfn.IFNA(_xlfn.IFS(AB192&gt;Dash!$F$46, "Big", AB192&lt;Dash!$F$49, "Small", AB192&gt;Dash!$F$47, "Good"), "Norm")</f>
        <v>Good</v>
      </c>
      <c r="AD192">
        <v>101.75</v>
      </c>
      <c r="AE192" t="str">
        <f>_xlfn.IFNA(_xlfn.IFS(AD192&gt;Dash!$G$46, "Big", AD192&lt;Dash!$G$49, "Small", AD192&gt;Dash!$G$47, "Good"), "Norm")</f>
        <v>Small</v>
      </c>
      <c r="AF192">
        <v>182.5</v>
      </c>
      <c r="AG192" t="str">
        <f>_xlfn.IFNA(_xlfn.IFS(AF192&gt;Dash!$H$46, "Big", AF192&lt;Dash!$H$49, "Small", AF192&gt;Dash!$H$47, "Good"), "Norm")</f>
        <v>Good</v>
      </c>
      <c r="AH192">
        <v>29.5</v>
      </c>
      <c r="AI192" t="str">
        <f>_xlfn.IFNA(_xlfn.IFS(AH192&gt;Dash!$I$46, "Big", AH192&lt;Dash!$I$49, "Small", AH192&gt;Dash!$I$47, "Good"), "Norm")</f>
        <v>Norm</v>
      </c>
    </row>
    <row r="193" spans="1:35" x14ac:dyDescent="0.25">
      <c r="A193" s="1">
        <v>45448</v>
      </c>
      <c r="B193" t="s">
        <v>18</v>
      </c>
      <c r="C193" t="s">
        <v>13</v>
      </c>
      <c r="D193" t="s">
        <v>28</v>
      </c>
      <c r="E193">
        <v>301.5</v>
      </c>
      <c r="F193">
        <v>2200</v>
      </c>
      <c r="G193">
        <v>200</v>
      </c>
      <c r="J193" t="s">
        <v>29</v>
      </c>
      <c r="K193" t="s">
        <v>31</v>
      </c>
      <c r="L193" t="s">
        <v>44</v>
      </c>
      <c r="M193" t="s">
        <v>23</v>
      </c>
      <c r="N193">
        <v>9</v>
      </c>
      <c r="R193" t="s">
        <v>33</v>
      </c>
      <c r="S193" t="s">
        <v>43</v>
      </c>
      <c r="T193">
        <v>107.25</v>
      </c>
      <c r="U193" t="str">
        <f>_xlfn.IFNA(_xlfn.IFS(E193&gt;Dash!$D$46, "Big", E193&lt;Dash!$D$49, "Small", E193&gt;Dash!$D$47, "Good"), "Norm")</f>
        <v>Good</v>
      </c>
      <c r="V193" t="s">
        <v>20</v>
      </c>
      <c r="W193">
        <v>191</v>
      </c>
      <c r="X193">
        <v>1</v>
      </c>
      <c r="Y193" s="1">
        <v>45448</v>
      </c>
      <c r="Z193">
        <v>69.75</v>
      </c>
      <c r="AA193" t="str">
        <f>_xlfn.IFNA(_xlfn.IFS(Z193&gt;Dash!$E$46, "Big", Z193&lt;Dash!$E$49, "Small", Z193&gt;Dash!$E$47, "Good"), "Norm")</f>
        <v>Norm</v>
      </c>
      <c r="AB193">
        <v>112</v>
      </c>
      <c r="AC193" t="str">
        <f>_xlfn.IFNA(_xlfn.IFS(AB193&gt;Dash!$F$46, "Big", AB193&lt;Dash!$F$49, "Small", AB193&gt;Dash!$F$47, "Good"), "Norm")</f>
        <v>Good</v>
      </c>
      <c r="AD193">
        <v>209</v>
      </c>
      <c r="AE193" t="str">
        <f>_xlfn.IFNA(_xlfn.IFS(AD193&gt;Dash!$G$46, "Big", AD193&lt;Dash!$G$49, "Small", AD193&gt;Dash!$G$47, "Good"), "Norm")</f>
        <v>Good</v>
      </c>
      <c r="AF193">
        <v>124.75</v>
      </c>
      <c r="AG193" t="str">
        <f>_xlfn.IFNA(_xlfn.IFS(AF193&gt;Dash!$H$46, "Big", AF193&lt;Dash!$H$49, "Small", AF193&gt;Dash!$H$47, "Good"), "Norm")</f>
        <v>Norm</v>
      </c>
      <c r="AH193">
        <v>39.75</v>
      </c>
      <c r="AI193" t="str">
        <f>_xlfn.IFNA(_xlfn.IFS(AH193&gt;Dash!$I$46, "Big", AH193&lt;Dash!$I$49, "Small", AH193&gt;Dash!$I$47, "Good"), "Norm")</f>
        <v>Good</v>
      </c>
    </row>
    <row r="194" spans="1:35" x14ac:dyDescent="0.25">
      <c r="A194" s="1">
        <v>45449</v>
      </c>
      <c r="B194" t="s">
        <v>36</v>
      </c>
      <c r="C194" t="s">
        <v>33</v>
      </c>
      <c r="D194" t="s">
        <v>43</v>
      </c>
      <c r="E194">
        <v>107.25</v>
      </c>
      <c r="F194">
        <v>1800</v>
      </c>
      <c r="G194">
        <v>2000</v>
      </c>
      <c r="J194" t="s">
        <v>29</v>
      </c>
      <c r="K194" t="s">
        <v>35</v>
      </c>
      <c r="L194" t="s">
        <v>17</v>
      </c>
      <c r="M194" t="s">
        <v>23</v>
      </c>
      <c r="N194">
        <v>9</v>
      </c>
      <c r="R194" t="s">
        <v>33</v>
      </c>
      <c r="S194" t="s">
        <v>48</v>
      </c>
      <c r="T194">
        <v>215</v>
      </c>
      <c r="U194" t="str">
        <f>_xlfn.IFNA(_xlfn.IFS(E194&gt;Dash!$D$46, "Big", E194&lt;Dash!$D$49, "Small", E194&gt;Dash!$D$47, "Good"), "Norm")</f>
        <v>Small</v>
      </c>
      <c r="V194" t="s">
        <v>13</v>
      </c>
      <c r="W194">
        <v>301.5</v>
      </c>
      <c r="X194" t="s">
        <v>28</v>
      </c>
      <c r="Y194" s="1">
        <v>45449</v>
      </c>
      <c r="Z194">
        <v>43.5</v>
      </c>
      <c r="AA194" t="str">
        <f>_xlfn.IFNA(_xlfn.IFS(Z194&gt;Dash!$E$46, "Big", Z194&lt;Dash!$E$49, "Small", Z194&gt;Dash!$E$47, "Good"), "Norm")</f>
        <v>Norm</v>
      </c>
      <c r="AB194">
        <v>36.25</v>
      </c>
      <c r="AC194" t="str">
        <f>_xlfn.IFNA(_xlfn.IFS(AB194&gt;Dash!$F$46, "Big", AB194&lt;Dash!$F$49, "Small", AB194&gt;Dash!$F$47, "Good"), "Norm")</f>
        <v>Small</v>
      </c>
      <c r="AD194">
        <v>92.25</v>
      </c>
      <c r="AE194" t="str">
        <f>_xlfn.IFNA(_xlfn.IFS(AD194&gt;Dash!$G$46, "Big", AD194&lt;Dash!$G$49, "Small", AD194&gt;Dash!$G$47, "Good"), "Norm")</f>
        <v>Small</v>
      </c>
      <c r="AF194">
        <v>73.25</v>
      </c>
      <c r="AG194" t="str">
        <f>_xlfn.IFNA(_xlfn.IFS(AF194&gt;Dash!$H$46, "Big", AF194&lt;Dash!$H$49, "Small", AF194&gt;Dash!$H$47, "Good"), "Norm")</f>
        <v>Small</v>
      </c>
      <c r="AH194">
        <v>26.25</v>
      </c>
      <c r="AI194" t="str">
        <f>_xlfn.IFNA(_xlfn.IFS(AH194&gt;Dash!$I$46, "Big", AH194&lt;Dash!$I$49, "Small", AH194&gt;Dash!$I$47, "Good"), "Norm")</f>
        <v>Norm</v>
      </c>
    </row>
    <row r="195" spans="1:35" x14ac:dyDescent="0.25">
      <c r="A195" s="1">
        <v>45450</v>
      </c>
      <c r="B195" t="s">
        <v>26</v>
      </c>
      <c r="C195" t="s">
        <v>33</v>
      </c>
      <c r="D195" t="s">
        <v>48</v>
      </c>
      <c r="E195">
        <v>215</v>
      </c>
      <c r="F195">
        <v>800</v>
      </c>
      <c r="G195">
        <v>900</v>
      </c>
      <c r="H195">
        <v>1200</v>
      </c>
      <c r="I195">
        <v>1300</v>
      </c>
      <c r="J195" t="s">
        <v>27</v>
      </c>
      <c r="K195" t="s">
        <v>25</v>
      </c>
      <c r="L195" t="s">
        <v>32</v>
      </c>
      <c r="M195" t="s">
        <v>23</v>
      </c>
      <c r="N195">
        <v>9</v>
      </c>
      <c r="R195" t="s">
        <v>20</v>
      </c>
      <c r="S195">
        <v>1</v>
      </c>
      <c r="T195">
        <v>152</v>
      </c>
      <c r="U195" t="str">
        <f>_xlfn.IFNA(_xlfn.IFS(E195&gt;Dash!$D$46, "Big", E195&lt;Dash!$D$49, "Small", E195&gt;Dash!$D$47, "Good"), "Norm")</f>
        <v>Norm</v>
      </c>
      <c r="V195" t="s">
        <v>33</v>
      </c>
      <c r="W195">
        <v>107.25</v>
      </c>
      <c r="X195" t="s">
        <v>43</v>
      </c>
      <c r="Y195" s="1">
        <v>45450</v>
      </c>
      <c r="Z195">
        <v>41.5</v>
      </c>
      <c r="AA195" t="str">
        <f>_xlfn.IFNA(_xlfn.IFS(Z195&gt;Dash!$E$46, "Big", Z195&lt;Dash!$E$49, "Small", Z195&gt;Dash!$E$47, "Good"), "Norm")</f>
        <v>Norm</v>
      </c>
      <c r="AB195">
        <v>50.25</v>
      </c>
      <c r="AC195" t="str">
        <f>_xlfn.IFNA(_xlfn.IFS(AB195&gt;Dash!$F$46, "Big", AB195&lt;Dash!$F$49, "Small", AB195&gt;Dash!$F$47, "Good"), "Norm")</f>
        <v>Small</v>
      </c>
      <c r="AD195">
        <v>206.75</v>
      </c>
      <c r="AE195" t="str">
        <f>_xlfn.IFNA(_xlfn.IFS(AD195&gt;Dash!$G$46, "Big", AD195&lt;Dash!$G$49, "Small", AD195&gt;Dash!$G$47, "Good"), "Norm")</f>
        <v>Good</v>
      </c>
      <c r="AF195">
        <v>158</v>
      </c>
      <c r="AG195" t="str">
        <f>_xlfn.IFNA(_xlfn.IFS(AF195&gt;Dash!$H$46, "Big", AF195&lt;Dash!$H$49, "Small", AF195&gt;Dash!$H$47, "Good"), "Norm")</f>
        <v>Good</v>
      </c>
      <c r="AH195">
        <v>28.75</v>
      </c>
      <c r="AI195" t="str">
        <f>_xlfn.IFNA(_xlfn.IFS(AH195&gt;Dash!$I$46, "Big", AH195&lt;Dash!$I$49, "Small", AH195&gt;Dash!$I$47, "Good"), "Norm")</f>
        <v>Norm</v>
      </c>
    </row>
    <row r="196" spans="1:35" x14ac:dyDescent="0.25">
      <c r="A196" s="1">
        <v>45453</v>
      </c>
      <c r="B196" t="s">
        <v>23</v>
      </c>
      <c r="C196" t="s">
        <v>20</v>
      </c>
      <c r="D196">
        <v>1</v>
      </c>
      <c r="E196">
        <v>152</v>
      </c>
      <c r="J196" t="s">
        <v>34</v>
      </c>
      <c r="K196" t="s">
        <v>39</v>
      </c>
      <c r="L196" t="s">
        <v>32</v>
      </c>
      <c r="M196" t="s">
        <v>18</v>
      </c>
      <c r="N196">
        <v>11</v>
      </c>
      <c r="R196" t="s">
        <v>33</v>
      </c>
      <c r="S196" t="s">
        <v>28</v>
      </c>
      <c r="T196">
        <v>253</v>
      </c>
      <c r="U196" t="str">
        <f>_xlfn.IFNA(_xlfn.IFS(E196&gt;Dash!$D$46, "Big", E196&lt;Dash!$D$49, "Small", E196&gt;Dash!$D$47, "Good"), "Norm")</f>
        <v>Small</v>
      </c>
      <c r="V196" t="s">
        <v>33</v>
      </c>
      <c r="W196">
        <v>215</v>
      </c>
      <c r="X196" t="s">
        <v>48</v>
      </c>
      <c r="Y196" s="1">
        <v>45453</v>
      </c>
      <c r="Z196">
        <v>50.75</v>
      </c>
      <c r="AA196" t="str">
        <f>_xlfn.IFNA(_xlfn.IFS(Z196&gt;Dash!$E$46, "Big", Z196&lt;Dash!$E$49, "Small", Z196&gt;Dash!$E$47, "Good"), "Norm")</f>
        <v>Norm</v>
      </c>
      <c r="AB196">
        <v>69.75</v>
      </c>
      <c r="AC196" t="str">
        <f>_xlfn.IFNA(_xlfn.IFS(AB196&gt;Dash!$F$46, "Big", AB196&lt;Dash!$F$49, "Small", AB196&gt;Dash!$F$47, "Good"), "Norm")</f>
        <v>Norm</v>
      </c>
      <c r="AD196">
        <v>135.75</v>
      </c>
      <c r="AE196" t="str">
        <f>_xlfn.IFNA(_xlfn.IFS(AD196&gt;Dash!$G$46, "Big", AD196&lt;Dash!$G$49, "Small", AD196&gt;Dash!$G$47, "Good"), "Norm")</f>
        <v>Norm</v>
      </c>
      <c r="AF196">
        <v>95.75</v>
      </c>
      <c r="AG196" t="str">
        <f>_xlfn.IFNA(_xlfn.IFS(AF196&gt;Dash!$H$46, "Big", AF196&lt;Dash!$H$49, "Small", AF196&gt;Dash!$H$47, "Good"), "Norm")</f>
        <v>Norm</v>
      </c>
      <c r="AH196">
        <v>32</v>
      </c>
      <c r="AI196" t="str">
        <f>_xlfn.IFNA(_xlfn.IFS(AH196&gt;Dash!$I$46, "Big", AH196&lt;Dash!$I$49, "Small", AH196&gt;Dash!$I$47, "Good"), "Norm")</f>
        <v>Norm</v>
      </c>
    </row>
    <row r="197" spans="1:35" x14ac:dyDescent="0.25">
      <c r="A197" s="1">
        <v>45454</v>
      </c>
      <c r="B197" t="s">
        <v>19</v>
      </c>
      <c r="C197" t="s">
        <v>33</v>
      </c>
      <c r="D197" t="s">
        <v>28</v>
      </c>
      <c r="E197">
        <v>253</v>
      </c>
      <c r="F197">
        <v>900</v>
      </c>
      <c r="G197">
        <v>1000</v>
      </c>
      <c r="J197" t="s">
        <v>27</v>
      </c>
      <c r="K197" t="s">
        <v>25</v>
      </c>
      <c r="L197" t="s">
        <v>44</v>
      </c>
      <c r="M197" t="s">
        <v>18</v>
      </c>
      <c r="N197">
        <v>11</v>
      </c>
      <c r="R197" t="s">
        <v>13</v>
      </c>
      <c r="S197" t="s">
        <v>28</v>
      </c>
      <c r="T197">
        <v>326</v>
      </c>
      <c r="U197" t="str">
        <f>_xlfn.IFNA(_xlfn.IFS(E197&gt;Dash!$D$46, "Big", E197&lt;Dash!$D$49, "Small", E197&gt;Dash!$D$47, "Good"), "Norm")</f>
        <v>Good</v>
      </c>
      <c r="V197" t="s">
        <v>20</v>
      </c>
      <c r="W197">
        <v>152</v>
      </c>
      <c r="X197">
        <v>1</v>
      </c>
      <c r="Y197" s="1">
        <v>45454</v>
      </c>
      <c r="Z197">
        <v>31.25</v>
      </c>
      <c r="AA197" t="str">
        <f>_xlfn.IFNA(_xlfn.IFS(Z197&gt;Dash!$E$46, "Big", Z197&lt;Dash!$E$49, "Small", Z197&gt;Dash!$E$47, "Good"), "Norm")</f>
        <v>Small</v>
      </c>
      <c r="AB197">
        <v>84</v>
      </c>
      <c r="AC197" t="str">
        <f>_xlfn.IFNA(_xlfn.IFS(AB197&gt;Dash!$F$46, "Big", AB197&lt;Dash!$F$49, "Small", AB197&gt;Dash!$F$47, "Good"), "Norm")</f>
        <v>Norm</v>
      </c>
      <c r="AD197">
        <v>142.5</v>
      </c>
      <c r="AE197" t="str">
        <f>_xlfn.IFNA(_xlfn.IFS(AD197&gt;Dash!$G$46, "Big", AD197&lt;Dash!$G$49, "Small", AD197&gt;Dash!$G$47, "Good"), "Norm")</f>
        <v>Norm</v>
      </c>
      <c r="AF197">
        <v>173.25</v>
      </c>
      <c r="AG197" t="str">
        <f>_xlfn.IFNA(_xlfn.IFS(AF197&gt;Dash!$H$46, "Big", AF197&lt;Dash!$H$49, "Small", AF197&gt;Dash!$H$47, "Good"), "Norm")</f>
        <v>Good</v>
      </c>
      <c r="AH197">
        <v>30.5</v>
      </c>
      <c r="AI197" t="str">
        <f>_xlfn.IFNA(_xlfn.IFS(AH197&gt;Dash!$I$46, "Big", AH197&lt;Dash!$I$49, "Small", AH197&gt;Dash!$I$47, "Good"), "Norm")</f>
        <v>Norm</v>
      </c>
    </row>
    <row r="198" spans="1:35" x14ac:dyDescent="0.25">
      <c r="A198" s="1">
        <v>45455</v>
      </c>
      <c r="B198" t="s">
        <v>18</v>
      </c>
      <c r="C198" t="s">
        <v>13</v>
      </c>
      <c r="D198" t="s">
        <v>28</v>
      </c>
      <c r="E198">
        <v>326</v>
      </c>
      <c r="F198">
        <v>1800</v>
      </c>
      <c r="G198">
        <v>1800</v>
      </c>
      <c r="J198" t="s">
        <v>29</v>
      </c>
      <c r="K198" t="s">
        <v>31</v>
      </c>
      <c r="L198" t="s">
        <v>44</v>
      </c>
      <c r="M198" t="s">
        <v>18</v>
      </c>
      <c r="N198">
        <v>11</v>
      </c>
      <c r="R198" t="s">
        <v>33</v>
      </c>
      <c r="S198" t="s">
        <v>43</v>
      </c>
      <c r="T198">
        <v>191</v>
      </c>
      <c r="U198" t="str">
        <f>_xlfn.IFNA(_xlfn.IFS(E198&gt;Dash!$D$46, "Big", E198&lt;Dash!$D$49, "Small", E198&gt;Dash!$D$47, "Good"), "Norm")</f>
        <v>Good</v>
      </c>
      <c r="V198" t="s">
        <v>33</v>
      </c>
      <c r="W198">
        <v>253</v>
      </c>
      <c r="X198" t="s">
        <v>28</v>
      </c>
      <c r="Y198" s="1">
        <v>45455</v>
      </c>
      <c r="Z198">
        <v>36.25</v>
      </c>
      <c r="AA198" t="str">
        <f>_xlfn.IFNA(_xlfn.IFS(Z198&gt;Dash!$E$46, "Big", Z198&lt;Dash!$E$49, "Small", Z198&gt;Dash!$E$47, "Good"), "Norm")</f>
        <v>Small</v>
      </c>
      <c r="AB198">
        <v>37.5</v>
      </c>
      <c r="AC198" t="str">
        <f>_xlfn.IFNA(_xlfn.IFS(AB198&gt;Dash!$F$46, "Big", AB198&lt;Dash!$F$49, "Small", AB198&gt;Dash!$F$47, "Good"), "Norm")</f>
        <v>Small</v>
      </c>
      <c r="AD198">
        <v>284</v>
      </c>
      <c r="AE198" t="str">
        <f>_xlfn.IFNA(_xlfn.IFS(AD198&gt;Dash!$G$46, "Big", AD198&lt;Dash!$G$49, "Small", AD198&gt;Dash!$G$47, "Good"), "Norm")</f>
        <v>Good</v>
      </c>
      <c r="AF198">
        <v>155.75</v>
      </c>
      <c r="AG198" t="str">
        <f>_xlfn.IFNA(_xlfn.IFS(AF198&gt;Dash!$H$46, "Big", AF198&lt;Dash!$H$49, "Small", AF198&gt;Dash!$H$47, "Good"), "Norm")</f>
        <v>Good</v>
      </c>
      <c r="AH198">
        <v>148.5</v>
      </c>
      <c r="AI198" t="str">
        <f>_xlfn.IFNA(_xlfn.IFS(AH198&gt;Dash!$I$46, "Big", AH198&lt;Dash!$I$49, "Small", AH198&gt;Dash!$I$47, "Good"), "Norm")</f>
        <v>Big</v>
      </c>
    </row>
    <row r="199" spans="1:35" x14ac:dyDescent="0.25">
      <c r="A199" s="1">
        <v>45456</v>
      </c>
      <c r="B199" t="s">
        <v>36</v>
      </c>
      <c r="C199" t="s">
        <v>33</v>
      </c>
      <c r="D199" t="s">
        <v>43</v>
      </c>
      <c r="E199">
        <v>191</v>
      </c>
      <c r="F199">
        <v>2000</v>
      </c>
      <c r="G199">
        <v>500</v>
      </c>
      <c r="J199" t="s">
        <v>29</v>
      </c>
      <c r="K199" t="s">
        <v>35</v>
      </c>
      <c r="L199" t="s">
        <v>17</v>
      </c>
      <c r="M199" t="s">
        <v>18</v>
      </c>
      <c r="N199">
        <v>11</v>
      </c>
      <c r="R199" t="s">
        <v>20</v>
      </c>
      <c r="S199" t="s">
        <v>28</v>
      </c>
      <c r="T199">
        <v>159.25</v>
      </c>
      <c r="U199" t="str">
        <f>_xlfn.IFNA(_xlfn.IFS(E199&gt;Dash!$D$46, "Big", E199&lt;Dash!$D$49, "Small", E199&gt;Dash!$D$47, "Good"), "Norm")</f>
        <v>Norm</v>
      </c>
      <c r="V199" t="s">
        <v>13</v>
      </c>
      <c r="W199">
        <v>326</v>
      </c>
      <c r="X199" t="s">
        <v>28</v>
      </c>
      <c r="Y199" s="1">
        <v>45456</v>
      </c>
      <c r="Z199">
        <v>58.25</v>
      </c>
      <c r="AA199" t="str">
        <f>_xlfn.IFNA(_xlfn.IFS(Z199&gt;Dash!$E$46, "Big", Z199&lt;Dash!$E$49, "Small", Z199&gt;Dash!$E$47, "Good"), "Norm")</f>
        <v>Norm</v>
      </c>
      <c r="AB199">
        <v>88.25</v>
      </c>
      <c r="AC199" t="str">
        <f>_xlfn.IFNA(_xlfn.IFS(AB199&gt;Dash!$F$46, "Big", AB199&lt;Dash!$F$49, "Small", AB199&gt;Dash!$F$47, "Good"), "Norm")</f>
        <v>Norm</v>
      </c>
      <c r="AD199">
        <v>156.25</v>
      </c>
      <c r="AE199" t="str">
        <f>_xlfn.IFNA(_xlfn.IFS(AD199&gt;Dash!$G$46, "Big", AD199&lt;Dash!$G$49, "Small", AD199&gt;Dash!$G$47, "Good"), "Norm")</f>
        <v>Norm</v>
      </c>
      <c r="AF199">
        <v>132.25</v>
      </c>
      <c r="AG199" t="str">
        <f>_xlfn.IFNA(_xlfn.IFS(AF199&gt;Dash!$H$46, "Big", AF199&lt;Dash!$H$49, "Small", AF199&gt;Dash!$H$47, "Good"), "Norm")</f>
        <v>Norm</v>
      </c>
      <c r="AH199">
        <v>49.5</v>
      </c>
      <c r="AI199" t="str">
        <f>_xlfn.IFNA(_xlfn.IFS(AH199&gt;Dash!$I$46, "Big", AH199&lt;Dash!$I$49, "Small", AH199&gt;Dash!$I$47, "Good"), "Norm")</f>
        <v>Good</v>
      </c>
    </row>
    <row r="200" spans="1:35" x14ac:dyDescent="0.25">
      <c r="A200" s="1">
        <v>45457</v>
      </c>
      <c r="B200" t="s">
        <v>26</v>
      </c>
      <c r="C200" t="s">
        <v>20</v>
      </c>
      <c r="D200" t="s">
        <v>28</v>
      </c>
      <c r="E200">
        <v>159.25</v>
      </c>
      <c r="F200">
        <v>1500</v>
      </c>
      <c r="J200" t="s">
        <v>49</v>
      </c>
      <c r="K200" t="s">
        <v>39</v>
      </c>
      <c r="L200" t="s">
        <v>44</v>
      </c>
      <c r="M200" t="s">
        <v>18</v>
      </c>
      <c r="N200">
        <v>11</v>
      </c>
      <c r="R200" t="s">
        <v>33</v>
      </c>
      <c r="S200" t="s">
        <v>40</v>
      </c>
      <c r="T200">
        <v>367.25</v>
      </c>
      <c r="U200" t="str">
        <f>_xlfn.IFNA(_xlfn.IFS(E200&gt;Dash!$D$46, "Big", E200&lt;Dash!$D$49, "Small", E200&gt;Dash!$D$47, "Good"), "Norm")</f>
        <v>Norm</v>
      </c>
      <c r="V200" t="s">
        <v>33</v>
      </c>
      <c r="W200">
        <v>191</v>
      </c>
      <c r="X200" t="s">
        <v>43</v>
      </c>
      <c r="Y200" s="1">
        <v>45457</v>
      </c>
      <c r="Z200">
        <v>54.5</v>
      </c>
      <c r="AA200" t="str">
        <f>_xlfn.IFNA(_xlfn.IFS(Z200&gt;Dash!$E$46, "Big", Z200&lt;Dash!$E$49, "Small", Z200&gt;Dash!$E$47, "Good"), "Norm")</f>
        <v>Norm</v>
      </c>
      <c r="AB200">
        <v>157</v>
      </c>
      <c r="AC200" t="str">
        <f>_xlfn.IFNA(_xlfn.IFS(AB200&gt;Dash!$F$46, "Big", AB200&lt;Dash!$F$49, "Small", AB200&gt;Dash!$F$47, "Good"), "Norm")</f>
        <v>Big</v>
      </c>
      <c r="AD200">
        <v>115.25</v>
      </c>
      <c r="AE200" t="str">
        <f>_xlfn.IFNA(_xlfn.IFS(AD200&gt;Dash!$G$46, "Big", AD200&lt;Dash!$G$49, "Small", AD200&gt;Dash!$G$47, "Good"), "Norm")</f>
        <v>Small</v>
      </c>
      <c r="AF200">
        <v>91.5</v>
      </c>
      <c r="AG200" t="str">
        <f>_xlfn.IFNA(_xlfn.IFS(AF200&gt;Dash!$H$46, "Big", AF200&lt;Dash!$H$49, "Small", AF200&gt;Dash!$H$47, "Good"), "Norm")</f>
        <v>Small</v>
      </c>
      <c r="AH200">
        <v>20.5</v>
      </c>
      <c r="AI200" t="str">
        <f>_xlfn.IFNA(_xlfn.IFS(AH200&gt;Dash!$I$46, "Big", AH200&lt;Dash!$I$49, "Small", AH200&gt;Dash!$I$47, "Good"), "Norm")</f>
        <v>Small</v>
      </c>
    </row>
    <row r="201" spans="1:35" x14ac:dyDescent="0.25">
      <c r="A201" s="1">
        <v>45460</v>
      </c>
      <c r="B201" t="s">
        <v>23</v>
      </c>
      <c r="C201" t="s">
        <v>33</v>
      </c>
      <c r="D201" t="s">
        <v>40</v>
      </c>
      <c r="E201">
        <v>367.25</v>
      </c>
      <c r="F201">
        <v>1800</v>
      </c>
      <c r="J201" t="s">
        <v>29</v>
      </c>
      <c r="K201" t="s">
        <v>25</v>
      </c>
      <c r="L201" t="s">
        <v>32</v>
      </c>
      <c r="M201" t="s">
        <v>19</v>
      </c>
      <c r="N201">
        <v>7</v>
      </c>
      <c r="R201" t="s">
        <v>33</v>
      </c>
      <c r="S201">
        <v>1</v>
      </c>
      <c r="T201">
        <v>143.5</v>
      </c>
      <c r="U201" t="str">
        <f>_xlfn.IFNA(_xlfn.IFS(E201&gt;Dash!$D$46, "Big", E201&lt;Dash!$D$49, "Small", E201&gt;Dash!$D$47, "Good"), "Norm")</f>
        <v>Good</v>
      </c>
      <c r="V201" t="s">
        <v>20</v>
      </c>
      <c r="W201">
        <v>159.25</v>
      </c>
      <c r="X201" t="s">
        <v>28</v>
      </c>
      <c r="Y201" s="1">
        <v>45460</v>
      </c>
      <c r="Z201">
        <v>56</v>
      </c>
      <c r="AA201" t="str">
        <f>_xlfn.IFNA(_xlfn.IFS(Z201&gt;Dash!$E$46, "Big", Z201&lt;Dash!$E$49, "Small", Z201&gt;Dash!$E$47, "Good"), "Norm")</f>
        <v>Norm</v>
      </c>
      <c r="AB201">
        <v>87.25</v>
      </c>
      <c r="AC201" t="str">
        <f>_xlfn.IFNA(_xlfn.IFS(AB201&gt;Dash!$F$46, "Big", AB201&lt;Dash!$F$49, "Small", AB201&gt;Dash!$F$47, "Good"), "Norm")</f>
        <v>Norm</v>
      </c>
      <c r="AD201">
        <v>119.75</v>
      </c>
      <c r="AE201" t="str">
        <f>_xlfn.IFNA(_xlfn.IFS(AD201&gt;Dash!$G$46, "Big", AD201&lt;Dash!$G$49, "Small", AD201&gt;Dash!$G$47, "Good"), "Norm")</f>
        <v>Norm</v>
      </c>
      <c r="AF201">
        <v>264</v>
      </c>
      <c r="AG201" t="str">
        <f>_xlfn.IFNA(_xlfn.IFS(AF201&gt;Dash!$H$46, "Big", AF201&lt;Dash!$H$49, "Small", AF201&gt;Dash!$H$47, "Good"), "Norm")</f>
        <v>Big</v>
      </c>
      <c r="AH201">
        <v>35.5</v>
      </c>
      <c r="AI201" t="str">
        <f>_xlfn.IFNA(_xlfn.IFS(AH201&gt;Dash!$I$46, "Big", AH201&lt;Dash!$I$49, "Small", AH201&gt;Dash!$I$47, "Good"), "Norm")</f>
        <v>Norm</v>
      </c>
    </row>
    <row r="202" spans="1:35" x14ac:dyDescent="0.25">
      <c r="A202" s="1">
        <v>45461</v>
      </c>
      <c r="B202" t="s">
        <v>19</v>
      </c>
      <c r="C202" t="s">
        <v>33</v>
      </c>
      <c r="D202">
        <v>1</v>
      </c>
      <c r="E202">
        <v>143.5</v>
      </c>
      <c r="J202" t="s">
        <v>34</v>
      </c>
      <c r="K202" t="s">
        <v>35</v>
      </c>
      <c r="L202" t="s">
        <v>25</v>
      </c>
      <c r="M202" t="s">
        <v>19</v>
      </c>
      <c r="N202">
        <v>7</v>
      </c>
      <c r="R202" t="s">
        <v>20</v>
      </c>
      <c r="S202" t="s">
        <v>48</v>
      </c>
      <c r="T202">
        <v>347.5</v>
      </c>
      <c r="U202" t="str">
        <f>_xlfn.IFNA(_xlfn.IFS(E202&gt;Dash!$D$46, "Big", E202&lt;Dash!$D$49, "Small", E202&gt;Dash!$D$47, "Good"), "Norm")</f>
        <v>Small</v>
      </c>
      <c r="V202" t="s">
        <v>33</v>
      </c>
      <c r="W202">
        <v>367.25</v>
      </c>
      <c r="X202" t="s">
        <v>40</v>
      </c>
      <c r="Y202" s="1">
        <v>45461</v>
      </c>
      <c r="Z202">
        <v>60.5</v>
      </c>
      <c r="AA202" t="str">
        <f>_xlfn.IFNA(_xlfn.IFS(Z202&gt;Dash!$E$46, "Big", Z202&lt;Dash!$E$49, "Small", Z202&gt;Dash!$E$47, "Good"), "Norm")</f>
        <v>Norm</v>
      </c>
      <c r="AB202">
        <v>65.25</v>
      </c>
      <c r="AC202" t="str">
        <f>_xlfn.IFNA(_xlfn.IFS(AB202&gt;Dash!$F$46, "Big", AB202&lt;Dash!$F$49, "Small", AB202&gt;Dash!$F$47, "Good"), "Norm")</f>
        <v>Norm</v>
      </c>
      <c r="AD202">
        <v>143.5</v>
      </c>
      <c r="AE202" t="str">
        <f>_xlfn.IFNA(_xlfn.IFS(AD202&gt;Dash!$G$46, "Big", AD202&lt;Dash!$G$49, "Small", AD202&gt;Dash!$G$47, "Good"), "Norm")</f>
        <v>Norm</v>
      </c>
      <c r="AF202">
        <v>69.25</v>
      </c>
      <c r="AG202" t="str">
        <f>_xlfn.IFNA(_xlfn.IFS(AF202&gt;Dash!$H$46, "Big", AF202&lt;Dash!$H$49, "Small", AF202&gt;Dash!$H$47, "Good"), "Norm")</f>
        <v>Small</v>
      </c>
      <c r="AH202">
        <v>18.25</v>
      </c>
      <c r="AI202" t="str">
        <f>_xlfn.IFNA(_xlfn.IFS(AH202&gt;Dash!$I$46, "Big", AH202&lt;Dash!$I$49, "Small", AH202&gt;Dash!$I$47, "Good"), "Norm")</f>
        <v>Small</v>
      </c>
    </row>
    <row r="203" spans="1:35" x14ac:dyDescent="0.25">
      <c r="A203" s="1">
        <v>45463</v>
      </c>
      <c r="B203" t="s">
        <v>36</v>
      </c>
      <c r="C203" t="s">
        <v>20</v>
      </c>
      <c r="D203" t="s">
        <v>48</v>
      </c>
      <c r="E203">
        <v>347.5</v>
      </c>
      <c r="F203">
        <v>2100</v>
      </c>
      <c r="G203">
        <v>800</v>
      </c>
      <c r="H203">
        <v>1000</v>
      </c>
      <c r="I203">
        <v>1000</v>
      </c>
      <c r="J203" t="s">
        <v>29</v>
      </c>
      <c r="K203" t="s">
        <v>22</v>
      </c>
      <c r="L203" t="s">
        <v>17</v>
      </c>
      <c r="M203" t="s">
        <v>19</v>
      </c>
      <c r="N203">
        <v>7</v>
      </c>
      <c r="R203" t="s">
        <v>41</v>
      </c>
      <c r="S203" t="s">
        <v>46</v>
      </c>
      <c r="T203">
        <v>158.5</v>
      </c>
      <c r="U203" t="str">
        <f>_xlfn.IFNA(_xlfn.IFS(E203&gt;Dash!$D$46, "Big", E203&lt;Dash!$D$49, "Small", E203&gt;Dash!$D$47, "Good"), "Norm")</f>
        <v>Good</v>
      </c>
      <c r="V203" t="s">
        <v>33</v>
      </c>
      <c r="W203">
        <v>143.5</v>
      </c>
      <c r="X203">
        <v>1</v>
      </c>
      <c r="Y203" s="1">
        <v>45463</v>
      </c>
      <c r="Z203">
        <v>106</v>
      </c>
      <c r="AA203" t="str">
        <f>_xlfn.IFNA(_xlfn.IFS(Z203&gt;Dash!$E$46, "Big", Z203&lt;Dash!$E$49, "Small", Z203&gt;Dash!$E$47, "Good"), "Norm")</f>
        <v>Good</v>
      </c>
      <c r="AB203">
        <v>80</v>
      </c>
      <c r="AC203" t="str">
        <f>_xlfn.IFNA(_xlfn.IFS(AB203&gt;Dash!$F$46, "Big", AB203&lt;Dash!$F$49, "Small", AB203&gt;Dash!$F$47, "Good"), "Norm")</f>
        <v>Norm</v>
      </c>
      <c r="AD203">
        <v>187.25</v>
      </c>
      <c r="AE203" t="str">
        <f>_xlfn.IFNA(_xlfn.IFS(AD203&gt;Dash!$G$46, "Big", AD203&lt;Dash!$G$49, "Small", AD203&gt;Dash!$G$47, "Good"), "Norm")</f>
        <v>Norm</v>
      </c>
      <c r="AF203">
        <v>217.25</v>
      </c>
      <c r="AG203" t="str">
        <f>_xlfn.IFNA(_xlfn.IFS(AF203&gt;Dash!$H$46, "Big", AF203&lt;Dash!$H$49, "Small", AF203&gt;Dash!$H$47, "Good"), "Norm")</f>
        <v>Good</v>
      </c>
      <c r="AH203">
        <v>28.75</v>
      </c>
      <c r="AI203" t="str">
        <f>_xlfn.IFNA(_xlfn.IFS(AH203&gt;Dash!$I$46, "Big", AH203&lt;Dash!$I$49, "Small", AH203&gt;Dash!$I$47, "Good"), "Norm")</f>
        <v>Norm</v>
      </c>
    </row>
    <row r="204" spans="1:35" x14ac:dyDescent="0.25">
      <c r="A204" s="1">
        <v>45464</v>
      </c>
      <c r="B204" t="s">
        <v>26</v>
      </c>
      <c r="C204" t="s">
        <v>41</v>
      </c>
      <c r="D204" t="s">
        <v>46</v>
      </c>
      <c r="E204">
        <v>158.5</v>
      </c>
      <c r="F204">
        <v>400</v>
      </c>
      <c r="G204">
        <v>400</v>
      </c>
      <c r="J204" t="s">
        <v>15</v>
      </c>
      <c r="K204" t="s">
        <v>22</v>
      </c>
      <c r="L204" t="s">
        <v>25</v>
      </c>
      <c r="M204" t="s">
        <v>19</v>
      </c>
      <c r="N204">
        <v>7</v>
      </c>
      <c r="O204" t="s">
        <v>67</v>
      </c>
      <c r="R204" t="s">
        <v>13</v>
      </c>
      <c r="S204" t="s">
        <v>14</v>
      </c>
      <c r="T204">
        <v>255</v>
      </c>
      <c r="U204" t="str">
        <f>_xlfn.IFNA(_xlfn.IFS(E204&gt;Dash!$D$46, "Big", E204&lt;Dash!$D$49, "Small", E204&gt;Dash!$D$47, "Good"), "Norm")</f>
        <v>Norm</v>
      </c>
      <c r="V204" t="s">
        <v>20</v>
      </c>
      <c r="W204">
        <v>347.5</v>
      </c>
      <c r="X204" t="s">
        <v>48</v>
      </c>
      <c r="Y204" s="1">
        <v>45464</v>
      </c>
      <c r="Z204">
        <v>44.5</v>
      </c>
      <c r="AA204" t="str">
        <f>_xlfn.IFNA(_xlfn.IFS(Z204&gt;Dash!$E$46, "Big", Z204&lt;Dash!$E$49, "Small", Z204&gt;Dash!$E$47, "Good"), "Norm")</f>
        <v>Norm</v>
      </c>
      <c r="AB204">
        <v>138.25</v>
      </c>
      <c r="AC204" t="str">
        <f>_xlfn.IFNA(_xlfn.IFS(AB204&gt;Dash!$F$46, "Big", AB204&lt;Dash!$F$49, "Small", AB204&gt;Dash!$F$47, "Good"), "Norm")</f>
        <v>Good</v>
      </c>
      <c r="AD204">
        <v>153.75</v>
      </c>
      <c r="AE204" t="str">
        <f>_xlfn.IFNA(_xlfn.IFS(AD204&gt;Dash!$G$46, "Big", AD204&lt;Dash!$G$49, "Small", AD204&gt;Dash!$G$47, "Good"), "Norm")</f>
        <v>Norm</v>
      </c>
      <c r="AF204">
        <v>125.25</v>
      </c>
      <c r="AG204" t="str">
        <f>_xlfn.IFNA(_xlfn.IFS(AF204&gt;Dash!$H$46, "Big", AF204&lt;Dash!$H$49, "Small", AF204&gt;Dash!$H$47, "Good"), "Norm")</f>
        <v>Norm</v>
      </c>
      <c r="AH204">
        <v>38.25</v>
      </c>
      <c r="AI204" t="str">
        <f>_xlfn.IFNA(_xlfn.IFS(AH204&gt;Dash!$I$46, "Big", AH204&lt;Dash!$I$49, "Small", AH204&gt;Dash!$I$47, "Good"), "Norm")</f>
        <v>Good</v>
      </c>
    </row>
    <row r="205" spans="1:35" x14ac:dyDescent="0.25">
      <c r="A205" s="1">
        <v>45467</v>
      </c>
      <c r="B205" t="s">
        <v>23</v>
      </c>
      <c r="C205" t="s">
        <v>13</v>
      </c>
      <c r="D205" t="s">
        <v>14</v>
      </c>
      <c r="E205">
        <v>255</v>
      </c>
      <c r="F205">
        <v>900</v>
      </c>
      <c r="G205">
        <v>900</v>
      </c>
      <c r="J205" t="s">
        <v>45</v>
      </c>
      <c r="K205" t="s">
        <v>16</v>
      </c>
      <c r="L205" t="s">
        <v>17</v>
      </c>
      <c r="M205" t="s">
        <v>19</v>
      </c>
      <c r="N205">
        <v>6</v>
      </c>
      <c r="R205" t="s">
        <v>20</v>
      </c>
      <c r="S205" t="s">
        <v>46</v>
      </c>
      <c r="T205">
        <v>189</v>
      </c>
      <c r="U205" t="str">
        <f>_xlfn.IFNA(_xlfn.IFS(E205&gt;Dash!$D$46, "Big", E205&lt;Dash!$D$49, "Small", E205&gt;Dash!$D$47, "Good"), "Norm")</f>
        <v>Good</v>
      </c>
      <c r="V205" t="s">
        <v>41</v>
      </c>
      <c r="W205">
        <v>158.5</v>
      </c>
      <c r="X205" t="s">
        <v>46</v>
      </c>
      <c r="Y205" s="1">
        <v>45467</v>
      </c>
      <c r="Z205">
        <v>111.75</v>
      </c>
      <c r="AA205" t="str">
        <f>_xlfn.IFNA(_xlfn.IFS(Z205&gt;Dash!$E$46, "Big", Z205&lt;Dash!$E$49, "Small", Z205&gt;Dash!$E$47, "Good"), "Norm")</f>
        <v>Good</v>
      </c>
      <c r="AB205">
        <v>90.5</v>
      </c>
      <c r="AC205" t="str">
        <f>_xlfn.IFNA(_xlfn.IFS(AB205&gt;Dash!$F$46, "Big", AB205&lt;Dash!$F$49, "Small", AB205&gt;Dash!$F$47, "Good"), "Norm")</f>
        <v>Norm</v>
      </c>
      <c r="AD205">
        <v>174.25</v>
      </c>
      <c r="AE205" t="str">
        <f>_xlfn.IFNA(_xlfn.IFS(AD205&gt;Dash!$G$46, "Big", AD205&lt;Dash!$G$49, "Small", AD205&gt;Dash!$G$47, "Good"), "Norm")</f>
        <v>Norm</v>
      </c>
      <c r="AF205">
        <v>181.25</v>
      </c>
      <c r="AG205" t="str">
        <f>_xlfn.IFNA(_xlfn.IFS(AF205&gt;Dash!$H$46, "Big", AF205&lt;Dash!$H$49, "Small", AF205&gt;Dash!$H$47, "Good"), "Norm")</f>
        <v>Good</v>
      </c>
      <c r="AH205">
        <v>37.5</v>
      </c>
      <c r="AI205" t="str">
        <f>_xlfn.IFNA(_xlfn.IFS(AH205&gt;Dash!$I$46, "Big", AH205&lt;Dash!$I$49, "Small", AH205&gt;Dash!$I$47, "Good"), "Norm")</f>
        <v>Good</v>
      </c>
    </row>
    <row r="206" spans="1:35" x14ac:dyDescent="0.25">
      <c r="A206" s="1">
        <v>45468</v>
      </c>
      <c r="B206" t="s">
        <v>19</v>
      </c>
      <c r="C206" t="s">
        <v>20</v>
      </c>
      <c r="D206" t="s">
        <v>46</v>
      </c>
      <c r="E206">
        <v>189</v>
      </c>
      <c r="F206">
        <v>400</v>
      </c>
      <c r="G206">
        <v>400</v>
      </c>
      <c r="J206" t="s">
        <v>15</v>
      </c>
      <c r="K206" t="s">
        <v>39</v>
      </c>
      <c r="L206" t="s">
        <v>32</v>
      </c>
      <c r="M206" t="s">
        <v>19</v>
      </c>
      <c r="N206">
        <v>6</v>
      </c>
      <c r="R206" t="s">
        <v>41</v>
      </c>
      <c r="S206" t="s">
        <v>43</v>
      </c>
      <c r="T206">
        <v>127</v>
      </c>
      <c r="U206" t="str">
        <f>_xlfn.IFNA(_xlfn.IFS(E206&gt;Dash!$D$46, "Big", E206&lt;Dash!$D$49, "Small", E206&gt;Dash!$D$47, "Good"), "Norm")</f>
        <v>Norm</v>
      </c>
      <c r="V206" t="s">
        <v>13</v>
      </c>
      <c r="W206">
        <v>255</v>
      </c>
      <c r="X206" t="s">
        <v>14</v>
      </c>
      <c r="Y206" s="1">
        <v>45468</v>
      </c>
      <c r="Z206">
        <v>67.75</v>
      </c>
      <c r="AA206" t="str">
        <f>_xlfn.IFNA(_xlfn.IFS(Z206&gt;Dash!$E$46, "Big", Z206&lt;Dash!$E$49, "Small", Z206&gt;Dash!$E$47, "Good"), "Norm")</f>
        <v>Norm</v>
      </c>
      <c r="AB206">
        <v>125</v>
      </c>
      <c r="AC206" t="str">
        <f>_xlfn.IFNA(_xlfn.IFS(AB206&gt;Dash!$F$46, "Big", AB206&lt;Dash!$F$49, "Small", AB206&gt;Dash!$F$47, "Good"), "Norm")</f>
        <v>Good</v>
      </c>
      <c r="AD206">
        <v>168.5</v>
      </c>
      <c r="AE206" t="str">
        <f>_xlfn.IFNA(_xlfn.IFS(AD206&gt;Dash!$G$46, "Big", AD206&lt;Dash!$G$49, "Small", AD206&gt;Dash!$G$47, "Good"), "Norm")</f>
        <v>Norm</v>
      </c>
      <c r="AF206">
        <v>143.5</v>
      </c>
      <c r="AG206" t="str">
        <f>_xlfn.IFNA(_xlfn.IFS(AF206&gt;Dash!$H$46, "Big", AF206&lt;Dash!$H$49, "Small", AF206&gt;Dash!$H$47, "Good"), "Norm")</f>
        <v>Norm</v>
      </c>
      <c r="AH206">
        <v>18.25</v>
      </c>
      <c r="AI206" t="str">
        <f>_xlfn.IFNA(_xlfn.IFS(AH206&gt;Dash!$I$46, "Big", AH206&lt;Dash!$I$49, "Small", AH206&gt;Dash!$I$47, "Good"), "Norm")</f>
        <v>Small</v>
      </c>
    </row>
    <row r="207" spans="1:35" x14ac:dyDescent="0.25">
      <c r="A207" s="1">
        <v>45469</v>
      </c>
      <c r="B207" t="s">
        <v>18</v>
      </c>
      <c r="C207" t="s">
        <v>41</v>
      </c>
      <c r="D207" t="s">
        <v>43</v>
      </c>
      <c r="E207">
        <v>127</v>
      </c>
      <c r="F207">
        <v>1800</v>
      </c>
      <c r="G207">
        <v>1800</v>
      </c>
      <c r="J207" t="s">
        <v>29</v>
      </c>
      <c r="K207" t="s">
        <v>22</v>
      </c>
      <c r="L207" t="s">
        <v>25</v>
      </c>
      <c r="M207" t="s">
        <v>19</v>
      </c>
      <c r="N207">
        <v>6</v>
      </c>
      <c r="R207" t="s">
        <v>24</v>
      </c>
      <c r="S207" t="s">
        <v>38</v>
      </c>
      <c r="T207">
        <v>163.75</v>
      </c>
      <c r="U207" t="str">
        <f>_xlfn.IFNA(_xlfn.IFS(E207&gt;Dash!$D$46, "Big", E207&lt;Dash!$D$49, "Small", E207&gt;Dash!$D$47, "Good"), "Norm")</f>
        <v>Small</v>
      </c>
      <c r="V207" t="s">
        <v>20</v>
      </c>
      <c r="W207">
        <v>189</v>
      </c>
      <c r="X207" t="s">
        <v>46</v>
      </c>
      <c r="Y207" s="1">
        <v>45469</v>
      </c>
      <c r="Z207">
        <v>53.25</v>
      </c>
      <c r="AA207" t="str">
        <f>_xlfn.IFNA(_xlfn.IFS(Z207&gt;Dash!$E$46, "Big", Z207&lt;Dash!$E$49, "Small", Z207&gt;Dash!$E$47, "Good"), "Norm")</f>
        <v>Norm</v>
      </c>
      <c r="AB207">
        <v>89.75</v>
      </c>
      <c r="AC207" t="str">
        <f>_xlfn.IFNA(_xlfn.IFS(AB207&gt;Dash!$F$46, "Big", AB207&lt;Dash!$F$49, "Small", AB207&gt;Dash!$F$47, "Good"), "Norm")</f>
        <v>Norm</v>
      </c>
      <c r="AD207">
        <v>127</v>
      </c>
      <c r="AE207" t="str">
        <f>_xlfn.IFNA(_xlfn.IFS(AD207&gt;Dash!$G$46, "Big", AD207&lt;Dash!$G$49, "Small", AD207&gt;Dash!$G$47, "Good"), "Norm")</f>
        <v>Norm</v>
      </c>
      <c r="AF207">
        <v>100.25</v>
      </c>
      <c r="AG207" t="str">
        <f>_xlfn.IFNA(_xlfn.IFS(AF207&gt;Dash!$H$46, "Big", AF207&lt;Dash!$H$49, "Small", AF207&gt;Dash!$H$47, "Good"), "Norm")</f>
        <v>Norm</v>
      </c>
      <c r="AH207">
        <v>86.25</v>
      </c>
      <c r="AI207" t="str">
        <f>_xlfn.IFNA(_xlfn.IFS(AH207&gt;Dash!$I$46, "Big", AH207&lt;Dash!$I$49, "Small", AH207&gt;Dash!$I$47, "Good"), "Norm")</f>
        <v>Big</v>
      </c>
    </row>
    <row r="208" spans="1:35" x14ac:dyDescent="0.25">
      <c r="A208" s="1">
        <v>45470</v>
      </c>
      <c r="B208" t="s">
        <v>36</v>
      </c>
      <c r="C208" t="s">
        <v>24</v>
      </c>
      <c r="D208" t="s">
        <v>38</v>
      </c>
      <c r="E208">
        <v>163.75</v>
      </c>
      <c r="F208">
        <v>2000</v>
      </c>
      <c r="G208">
        <v>2100</v>
      </c>
      <c r="H208">
        <v>900</v>
      </c>
      <c r="I208">
        <v>1000</v>
      </c>
      <c r="J208" t="s">
        <v>37</v>
      </c>
      <c r="K208" t="s">
        <v>31</v>
      </c>
      <c r="L208" t="s">
        <v>35</v>
      </c>
      <c r="M208" t="s">
        <v>19</v>
      </c>
      <c r="N208">
        <v>6</v>
      </c>
      <c r="R208" t="s">
        <v>33</v>
      </c>
      <c r="S208" t="s">
        <v>43</v>
      </c>
      <c r="T208">
        <v>367</v>
      </c>
      <c r="U208" t="str">
        <f>_xlfn.IFNA(_xlfn.IFS(E208&gt;Dash!$D$46, "Big", E208&lt;Dash!$D$49, "Small", E208&gt;Dash!$D$47, "Good"), "Norm")</f>
        <v>Norm</v>
      </c>
      <c r="V208" t="s">
        <v>41</v>
      </c>
      <c r="W208">
        <v>127</v>
      </c>
      <c r="X208" t="s">
        <v>43</v>
      </c>
      <c r="Y208" s="1">
        <v>45470</v>
      </c>
      <c r="Z208">
        <v>88.75</v>
      </c>
      <c r="AA208" t="str">
        <f>_xlfn.IFNA(_xlfn.IFS(Z208&gt;Dash!$E$46, "Big", Z208&lt;Dash!$E$49, "Small", Z208&gt;Dash!$E$47, "Good"), "Norm")</f>
        <v>Good</v>
      </c>
      <c r="AB208">
        <v>59</v>
      </c>
      <c r="AC208" t="str">
        <f>_xlfn.IFNA(_xlfn.IFS(AB208&gt;Dash!$F$46, "Big", AB208&lt;Dash!$F$49, "Small", AB208&gt;Dash!$F$47, "Good"), "Norm")</f>
        <v>Norm</v>
      </c>
      <c r="AD208">
        <v>163.75</v>
      </c>
      <c r="AE208" t="str">
        <f>_xlfn.IFNA(_xlfn.IFS(AD208&gt;Dash!$G$46, "Big", AD208&lt;Dash!$G$49, "Small", AD208&gt;Dash!$G$47, "Good"), "Norm")</f>
        <v>Norm</v>
      </c>
      <c r="AF208">
        <v>85.25</v>
      </c>
      <c r="AG208" t="str">
        <f>_xlfn.IFNA(_xlfn.IFS(AF208&gt;Dash!$H$46, "Big", AF208&lt;Dash!$H$49, "Small", AF208&gt;Dash!$H$47, "Good"), "Norm")</f>
        <v>Small</v>
      </c>
      <c r="AH208">
        <v>34.25</v>
      </c>
      <c r="AI208" t="str">
        <f>_xlfn.IFNA(_xlfn.IFS(AH208&gt;Dash!$I$46, "Big", AH208&lt;Dash!$I$49, "Small", AH208&gt;Dash!$I$47, "Good"), "Norm")</f>
        <v>Norm</v>
      </c>
    </row>
    <row r="209" spans="1:35" x14ac:dyDescent="0.25">
      <c r="A209" s="1">
        <v>45471</v>
      </c>
      <c r="B209" t="s">
        <v>26</v>
      </c>
      <c r="C209" t="s">
        <v>33</v>
      </c>
      <c r="D209" t="s">
        <v>43</v>
      </c>
      <c r="E209">
        <v>367</v>
      </c>
      <c r="F209">
        <v>2100</v>
      </c>
      <c r="G209" t="s">
        <v>163</v>
      </c>
      <c r="J209" t="s">
        <v>29</v>
      </c>
      <c r="K209" t="s">
        <v>35</v>
      </c>
      <c r="L209" t="s">
        <v>17</v>
      </c>
      <c r="M209" t="s">
        <v>19</v>
      </c>
      <c r="N209">
        <v>6</v>
      </c>
      <c r="R209" t="s">
        <v>33</v>
      </c>
      <c r="S209" t="s">
        <v>46</v>
      </c>
      <c r="T209">
        <v>262.25</v>
      </c>
      <c r="U209" t="str">
        <f>_xlfn.IFNA(_xlfn.IFS(E209&gt;Dash!$D$46, "Big", E209&lt;Dash!$D$49, "Small", E209&gt;Dash!$D$47, "Good"), "Norm")</f>
        <v>Good</v>
      </c>
      <c r="V209" t="s">
        <v>24</v>
      </c>
      <c r="W209">
        <v>163.75</v>
      </c>
      <c r="X209" t="s">
        <v>38</v>
      </c>
      <c r="Y209" s="1">
        <v>45471</v>
      </c>
      <c r="Z209">
        <v>79.25</v>
      </c>
      <c r="AA209" t="str">
        <f>_xlfn.IFNA(_xlfn.IFS(Z209&gt;Dash!$E$46, "Big", Z209&lt;Dash!$E$49, "Small", Z209&gt;Dash!$E$47, "Good"), "Norm")</f>
        <v>Good</v>
      </c>
      <c r="AB209">
        <v>41.25</v>
      </c>
      <c r="AC209" t="str">
        <f>_xlfn.IFNA(_xlfn.IFS(AB209&gt;Dash!$F$46, "Big", AB209&lt;Dash!$F$49, "Small", AB209&gt;Dash!$F$47, "Good"), "Norm")</f>
        <v>Small</v>
      </c>
      <c r="AD209">
        <v>234</v>
      </c>
      <c r="AE209" t="str">
        <f>_xlfn.IFNA(_xlfn.IFS(AD209&gt;Dash!$G$46, "Big", AD209&lt;Dash!$G$49, "Small", AD209&gt;Dash!$G$47, "Good"), "Norm")</f>
        <v>Good</v>
      </c>
      <c r="AF209">
        <v>209</v>
      </c>
      <c r="AG209" t="str">
        <f>_xlfn.IFNA(_xlfn.IFS(AF209&gt;Dash!$H$46, "Big", AF209&lt;Dash!$H$49, "Small", AF209&gt;Dash!$H$47, "Good"), "Norm")</f>
        <v>Good</v>
      </c>
      <c r="AH209">
        <v>45.5</v>
      </c>
      <c r="AI209" t="str">
        <f>_xlfn.IFNA(_xlfn.IFS(AH209&gt;Dash!$I$46, "Big", AH209&lt;Dash!$I$49, "Small", AH209&gt;Dash!$I$47, "Good"), "Norm")</f>
        <v>Good</v>
      </c>
    </row>
    <row r="210" spans="1:35" x14ac:dyDescent="0.25">
      <c r="A210" s="1">
        <v>45474</v>
      </c>
      <c r="B210" t="s">
        <v>23</v>
      </c>
      <c r="C210" t="s">
        <v>33</v>
      </c>
      <c r="D210" t="s">
        <v>46</v>
      </c>
      <c r="E210">
        <v>262.25</v>
      </c>
      <c r="F210">
        <v>500</v>
      </c>
      <c r="G210">
        <v>500</v>
      </c>
      <c r="J210" t="s">
        <v>15</v>
      </c>
      <c r="K210" t="s">
        <v>25</v>
      </c>
      <c r="L210" t="s">
        <v>32</v>
      </c>
      <c r="M210" t="s">
        <v>23</v>
      </c>
      <c r="N210">
        <v>10</v>
      </c>
      <c r="R210" t="s">
        <v>20</v>
      </c>
      <c r="S210" t="s">
        <v>28</v>
      </c>
      <c r="T210">
        <v>332</v>
      </c>
      <c r="U210" t="str">
        <f>_xlfn.IFNA(_xlfn.IFS(E210&gt;Dash!$D$46, "Big", E210&lt;Dash!$D$49, "Small", E210&gt;Dash!$D$47, "Good"), "Norm")</f>
        <v>Good</v>
      </c>
      <c r="V210" t="s">
        <v>33</v>
      </c>
      <c r="W210">
        <v>367</v>
      </c>
      <c r="X210" t="s">
        <v>43</v>
      </c>
      <c r="Y210" s="1">
        <v>45474</v>
      </c>
      <c r="Z210">
        <v>77</v>
      </c>
      <c r="AA210" t="str">
        <f>_xlfn.IFNA(_xlfn.IFS(Z210&gt;Dash!$E$46, "Big", Z210&lt;Dash!$E$49, "Small", Z210&gt;Dash!$E$47, "Good"), "Norm")</f>
        <v>Norm</v>
      </c>
      <c r="AB210">
        <v>119.25</v>
      </c>
      <c r="AC210" t="str">
        <f>_xlfn.IFNA(_xlfn.IFS(AB210&gt;Dash!$F$46, "Big", AB210&lt;Dash!$F$49, "Small", AB210&gt;Dash!$F$47, "Good"), "Norm")</f>
        <v>Good</v>
      </c>
      <c r="AD210">
        <v>180.75</v>
      </c>
      <c r="AE210" t="str">
        <f>_xlfn.IFNA(_xlfn.IFS(AD210&gt;Dash!$G$46, "Big", AD210&lt;Dash!$G$49, "Small", AD210&gt;Dash!$G$47, "Good"), "Norm")</f>
        <v>Norm</v>
      </c>
      <c r="AF210">
        <v>116.75</v>
      </c>
      <c r="AG210" t="str">
        <f>_xlfn.IFNA(_xlfn.IFS(AF210&gt;Dash!$H$46, "Big", AF210&lt;Dash!$H$49, "Small", AF210&gt;Dash!$H$47, "Good"), "Norm")</f>
        <v>Norm</v>
      </c>
      <c r="AH210">
        <v>21.75</v>
      </c>
      <c r="AI210" t="str">
        <f>_xlfn.IFNA(_xlfn.IFS(AH210&gt;Dash!$I$46, "Big", AH210&lt;Dash!$I$49, "Small", AH210&gt;Dash!$I$47, "Good"), "Norm")</f>
        <v>Norm</v>
      </c>
    </row>
    <row r="211" spans="1:35" x14ac:dyDescent="0.25">
      <c r="A211" s="1">
        <v>45475</v>
      </c>
      <c r="B211" t="s">
        <v>19</v>
      </c>
      <c r="C211" t="s">
        <v>20</v>
      </c>
      <c r="D211" t="s">
        <v>28</v>
      </c>
      <c r="E211">
        <v>332</v>
      </c>
      <c r="F211">
        <v>900</v>
      </c>
      <c r="G211">
        <v>900</v>
      </c>
      <c r="J211" t="s">
        <v>27</v>
      </c>
      <c r="K211" t="s">
        <v>39</v>
      </c>
      <c r="L211" t="s">
        <v>32</v>
      </c>
      <c r="M211" t="s">
        <v>23</v>
      </c>
      <c r="N211">
        <v>10</v>
      </c>
      <c r="R211" t="s">
        <v>33</v>
      </c>
      <c r="S211" t="s">
        <v>28</v>
      </c>
      <c r="T211">
        <v>230.25</v>
      </c>
      <c r="U211" t="str">
        <f>_xlfn.IFNA(_xlfn.IFS(E211&gt;Dash!$D$46, "Big", E211&lt;Dash!$D$49, "Small", E211&gt;Dash!$D$47, "Good"), "Norm")</f>
        <v>Good</v>
      </c>
      <c r="V211" t="s">
        <v>33</v>
      </c>
      <c r="W211">
        <v>262.25</v>
      </c>
      <c r="X211" t="s">
        <v>46</v>
      </c>
      <c r="Y211" s="1">
        <v>45475</v>
      </c>
      <c r="Z211">
        <v>92.75</v>
      </c>
      <c r="AA211" t="str">
        <f>_xlfn.IFNA(_xlfn.IFS(Z211&gt;Dash!$E$46, "Big", Z211&lt;Dash!$E$49, "Small", Z211&gt;Dash!$E$47, "Good"), "Norm")</f>
        <v>Good</v>
      </c>
      <c r="AB211">
        <v>106.25</v>
      </c>
      <c r="AC211" t="str">
        <f>_xlfn.IFNA(_xlfn.IFS(AB211&gt;Dash!$F$46, "Big", AB211&lt;Dash!$F$49, "Small", AB211&gt;Dash!$F$47, "Good"), "Norm")</f>
        <v>Good</v>
      </c>
      <c r="AD211">
        <v>229</v>
      </c>
      <c r="AE211" t="str">
        <f>_xlfn.IFNA(_xlfn.IFS(AD211&gt;Dash!$G$46, "Big", AD211&lt;Dash!$G$49, "Small", AD211&gt;Dash!$G$47, "Good"), "Norm")</f>
        <v>Good</v>
      </c>
      <c r="AF211">
        <v>194</v>
      </c>
      <c r="AG211" t="str">
        <f>_xlfn.IFNA(_xlfn.IFS(AF211&gt;Dash!$H$46, "Big", AF211&lt;Dash!$H$49, "Small", AF211&gt;Dash!$H$47, "Good"), "Norm")</f>
        <v>Good</v>
      </c>
      <c r="AH211">
        <v>28.25</v>
      </c>
      <c r="AI211" t="str">
        <f>_xlfn.IFNA(_xlfn.IFS(AH211&gt;Dash!$I$46, "Big", AH211&lt;Dash!$I$49, "Small", AH211&gt;Dash!$I$47, "Good"), "Norm")</f>
        <v>Norm</v>
      </c>
    </row>
    <row r="212" spans="1:35" x14ac:dyDescent="0.25">
      <c r="A212" s="1">
        <v>45476</v>
      </c>
      <c r="B212" t="s">
        <v>18</v>
      </c>
      <c r="C212" t="s">
        <v>33</v>
      </c>
      <c r="D212" t="s">
        <v>28</v>
      </c>
      <c r="E212">
        <v>230.25</v>
      </c>
      <c r="F212">
        <v>200</v>
      </c>
      <c r="G212">
        <v>200</v>
      </c>
      <c r="J212" t="s">
        <v>30</v>
      </c>
      <c r="K212" t="s">
        <v>25</v>
      </c>
      <c r="L212" t="s">
        <v>32</v>
      </c>
      <c r="M212" t="s">
        <v>23</v>
      </c>
      <c r="N212">
        <v>10</v>
      </c>
      <c r="R212" t="s">
        <v>13</v>
      </c>
      <c r="S212" t="s">
        <v>28</v>
      </c>
      <c r="T212">
        <v>266.5</v>
      </c>
      <c r="U212" t="str">
        <f>_xlfn.IFNA(_xlfn.IFS(E212&gt;Dash!$D$46, "Big", E212&lt;Dash!$D$49, "Small", E212&gt;Dash!$D$47, "Good"), "Norm")</f>
        <v>Norm</v>
      </c>
      <c r="V212" t="s">
        <v>20</v>
      </c>
      <c r="W212">
        <v>332</v>
      </c>
      <c r="X212" t="s">
        <v>28</v>
      </c>
      <c r="Y212" s="1">
        <v>45476</v>
      </c>
      <c r="Z212">
        <v>21.5</v>
      </c>
      <c r="AA212" t="str">
        <f>_xlfn.IFNA(_xlfn.IFS(Z212&gt;Dash!$E$46, "Big", Z212&lt;Dash!$E$49, "Small", Z212&gt;Dash!$E$47, "Good"), "Norm")</f>
        <v>Small</v>
      </c>
      <c r="AB212">
        <v>49.75</v>
      </c>
      <c r="AC212" t="str">
        <f>_xlfn.IFNA(_xlfn.IFS(AB212&gt;Dash!$F$46, "Big", AB212&lt;Dash!$F$49, "Small", AB212&gt;Dash!$F$47, "Good"), "Norm")</f>
        <v>Small</v>
      </c>
      <c r="AD212">
        <v>177.5</v>
      </c>
      <c r="AE212" t="str">
        <f>_xlfn.IFNA(_xlfn.IFS(AD212&gt;Dash!$G$46, "Big", AD212&lt;Dash!$G$49, "Small", AD212&gt;Dash!$G$47, "Good"), "Norm")</f>
        <v>Norm</v>
      </c>
      <c r="AF212">
        <v>65.5</v>
      </c>
      <c r="AG212" t="str">
        <f>_xlfn.IFNA(_xlfn.IFS(AF212&gt;Dash!$H$46, "Big", AF212&lt;Dash!$H$49, "Small", AF212&gt;Dash!$H$47, "Good"), "Norm")</f>
        <v>Small</v>
      </c>
      <c r="AH212" t="s">
        <v>180</v>
      </c>
      <c r="AI212" t="str">
        <f>_xlfn.IFNA(_xlfn.IFS(AH212&gt;Dash!$I$46, "Big", AH212&lt;Dash!$I$49, "Small", AH212&gt;Dash!$I$47, "Good"), "Norm")</f>
        <v>Big</v>
      </c>
    </row>
    <row r="213" spans="1:35" x14ac:dyDescent="0.25">
      <c r="A213" s="1">
        <v>45478</v>
      </c>
      <c r="B213" t="s">
        <v>26</v>
      </c>
      <c r="C213" t="s">
        <v>13</v>
      </c>
      <c r="D213" t="s">
        <v>28</v>
      </c>
      <c r="E213">
        <v>266.5</v>
      </c>
      <c r="F213">
        <v>200</v>
      </c>
      <c r="G213">
        <v>400</v>
      </c>
      <c r="J213" t="s">
        <v>30</v>
      </c>
      <c r="K213" t="s">
        <v>31</v>
      </c>
      <c r="L213" t="s">
        <v>32</v>
      </c>
      <c r="M213" t="s">
        <v>23</v>
      </c>
      <c r="N213">
        <v>10</v>
      </c>
      <c r="R213" t="s">
        <v>13</v>
      </c>
      <c r="S213" t="s">
        <v>28</v>
      </c>
      <c r="T213">
        <v>100</v>
      </c>
      <c r="U213" t="str">
        <f>_xlfn.IFNA(_xlfn.IFS(E213&gt;Dash!$D$46, "Big", E213&lt;Dash!$D$49, "Small", E213&gt;Dash!$D$47, "Good"), "Norm")</f>
        <v>Good</v>
      </c>
      <c r="V213" t="s">
        <v>33</v>
      </c>
      <c r="W213">
        <v>230.25</v>
      </c>
      <c r="X213" t="s">
        <v>28</v>
      </c>
      <c r="Y213" s="1">
        <v>45478</v>
      </c>
      <c r="Z213">
        <v>71</v>
      </c>
      <c r="AA213" t="str">
        <f>_xlfn.IFNA(_xlfn.IFS(Z213&gt;Dash!$E$46, "Big", Z213&lt;Dash!$E$49, "Small", Z213&gt;Dash!$E$47, "Good"), "Norm")</f>
        <v>Norm</v>
      </c>
      <c r="AB213">
        <v>34.75</v>
      </c>
      <c r="AC213" t="str">
        <f>_xlfn.IFNA(_xlfn.IFS(AB213&gt;Dash!$F$46, "Big", AB213&lt;Dash!$F$49, "Small", AB213&gt;Dash!$F$47, "Good"), "Norm")</f>
        <v>Small</v>
      </c>
      <c r="AD213">
        <v>234</v>
      </c>
      <c r="AE213" t="str">
        <f>_xlfn.IFNA(_xlfn.IFS(AD213&gt;Dash!$G$46, "Big", AD213&lt;Dash!$G$49, "Small", AD213&gt;Dash!$G$47, "Good"), "Norm")</f>
        <v>Good</v>
      </c>
      <c r="AF213">
        <v>63.75</v>
      </c>
      <c r="AG213" t="str">
        <f>_xlfn.IFNA(_xlfn.IFS(AF213&gt;Dash!$H$46, "Big", AF213&lt;Dash!$H$49, "Small", AF213&gt;Dash!$H$47, "Good"), "Norm")</f>
        <v>Small</v>
      </c>
      <c r="AH213">
        <v>32</v>
      </c>
      <c r="AI213" t="str">
        <f>_xlfn.IFNA(_xlfn.IFS(AH213&gt;Dash!$I$46, "Big", AH213&lt;Dash!$I$49, "Small", AH213&gt;Dash!$I$47, "Good"), "Norm")</f>
        <v>Norm</v>
      </c>
    </row>
    <row r="214" spans="1:35" x14ac:dyDescent="0.25">
      <c r="A214" s="1">
        <v>45481</v>
      </c>
      <c r="B214" t="s">
        <v>23</v>
      </c>
      <c r="C214" t="s">
        <v>13</v>
      </c>
      <c r="D214" t="s">
        <v>28</v>
      </c>
      <c r="E214">
        <v>100</v>
      </c>
      <c r="F214">
        <v>900</v>
      </c>
      <c r="G214">
        <v>900</v>
      </c>
      <c r="J214" t="s">
        <v>27</v>
      </c>
      <c r="K214" t="s">
        <v>31</v>
      </c>
      <c r="L214" t="s">
        <v>32</v>
      </c>
      <c r="M214" t="s">
        <v>19</v>
      </c>
      <c r="N214">
        <v>9</v>
      </c>
      <c r="R214" t="s">
        <v>33</v>
      </c>
      <c r="S214" t="s">
        <v>43</v>
      </c>
      <c r="T214">
        <v>156</v>
      </c>
      <c r="U214" t="str">
        <f>_xlfn.IFNA(_xlfn.IFS(E214&gt;Dash!$D$46, "Big", E214&lt;Dash!$D$49, "Small", E214&gt;Dash!$D$47, "Good"), "Norm")</f>
        <v>Small</v>
      </c>
      <c r="V214" t="s">
        <v>13</v>
      </c>
      <c r="W214">
        <v>266.5</v>
      </c>
      <c r="X214" t="s">
        <v>28</v>
      </c>
      <c r="Y214" s="1">
        <v>45481</v>
      </c>
      <c r="Z214">
        <v>38.75</v>
      </c>
      <c r="AA214" t="str">
        <f>_xlfn.IFNA(_xlfn.IFS(Z214&gt;Dash!$E$46, "Big", Z214&lt;Dash!$E$49, "Small", Z214&gt;Dash!$E$47, "Good"), "Norm")</f>
        <v>Small</v>
      </c>
      <c r="AB214">
        <v>48.25</v>
      </c>
      <c r="AC214" t="str">
        <f>_xlfn.IFNA(_xlfn.IFS(AB214&gt;Dash!$F$46, "Big", AB214&lt;Dash!$F$49, "Small", AB214&gt;Dash!$F$47, "Good"), "Norm")</f>
        <v>Small</v>
      </c>
      <c r="AD214">
        <v>82.75</v>
      </c>
      <c r="AE214" t="str">
        <f>_xlfn.IFNA(_xlfn.IFS(AD214&gt;Dash!$G$46, "Big", AD214&lt;Dash!$G$49, "Small", AD214&gt;Dash!$G$47, "Good"), "Norm")</f>
        <v>Small</v>
      </c>
      <c r="AF214">
        <v>79</v>
      </c>
      <c r="AG214" t="str">
        <f>_xlfn.IFNA(_xlfn.IFS(AF214&gt;Dash!$H$46, "Big", AF214&lt;Dash!$H$49, "Small", AF214&gt;Dash!$H$47, "Good"), "Norm")</f>
        <v>Small</v>
      </c>
      <c r="AH214">
        <v>31.25</v>
      </c>
      <c r="AI214" t="str">
        <f>_xlfn.IFNA(_xlfn.IFS(AH214&gt;Dash!$I$46, "Big", AH214&lt;Dash!$I$49, "Small", AH214&gt;Dash!$I$47, "Good"), "Norm")</f>
        <v>Norm</v>
      </c>
    </row>
    <row r="215" spans="1:35" x14ac:dyDescent="0.25">
      <c r="A215" s="1">
        <v>45482</v>
      </c>
      <c r="B215" t="s">
        <v>19</v>
      </c>
      <c r="C215" t="s">
        <v>33</v>
      </c>
      <c r="D215" t="s">
        <v>43</v>
      </c>
      <c r="E215">
        <v>156</v>
      </c>
      <c r="F215">
        <v>1800</v>
      </c>
      <c r="G215">
        <v>1800</v>
      </c>
      <c r="J215" t="s">
        <v>29</v>
      </c>
      <c r="K215" t="s">
        <v>35</v>
      </c>
      <c r="L215" t="s">
        <v>17</v>
      </c>
      <c r="M215" t="s">
        <v>19</v>
      </c>
      <c r="N215">
        <v>9</v>
      </c>
      <c r="R215" t="s">
        <v>13</v>
      </c>
      <c r="S215" t="s">
        <v>28</v>
      </c>
      <c r="T215">
        <v>213.75</v>
      </c>
      <c r="U215" t="str">
        <f>_xlfn.IFNA(_xlfn.IFS(E215&gt;Dash!$D$46, "Big", E215&lt;Dash!$D$49, "Small", E215&gt;Dash!$D$47, "Good"), "Norm")</f>
        <v>Small</v>
      </c>
      <c r="V215" t="s">
        <v>13</v>
      </c>
      <c r="W215">
        <v>100</v>
      </c>
      <c r="X215" t="s">
        <v>28</v>
      </c>
      <c r="Y215" s="1">
        <v>45482</v>
      </c>
      <c r="Z215">
        <v>76.25</v>
      </c>
      <c r="AA215" t="str">
        <f>_xlfn.IFNA(_xlfn.IFS(Z215&gt;Dash!$E$46, "Big", Z215&lt;Dash!$E$49, "Small", Z215&gt;Dash!$E$47, "Good"), "Norm")</f>
        <v>Norm</v>
      </c>
      <c r="AB215">
        <v>35.5</v>
      </c>
      <c r="AC215" t="str">
        <f>_xlfn.IFNA(_xlfn.IFS(AB215&gt;Dash!$F$46, "Big", AB215&lt;Dash!$F$49, "Small", AB215&gt;Dash!$F$47, "Good"), "Norm")</f>
        <v>Small</v>
      </c>
      <c r="AD215">
        <v>101.5</v>
      </c>
      <c r="AE215" t="str">
        <f>_xlfn.IFNA(_xlfn.IFS(AD215&gt;Dash!$G$46, "Big", AD215&lt;Dash!$G$49, "Small", AD215&gt;Dash!$G$47, "Good"), "Norm")</f>
        <v>Small</v>
      </c>
      <c r="AF215">
        <v>101.25</v>
      </c>
      <c r="AG215" t="str">
        <f>_xlfn.IFNA(_xlfn.IFS(AF215&gt;Dash!$H$46, "Big", AF215&lt;Dash!$H$49, "Small", AF215&gt;Dash!$H$47, "Good"), "Norm")</f>
        <v>Norm</v>
      </c>
      <c r="AH215">
        <v>17.75</v>
      </c>
      <c r="AI215" t="str">
        <f>_xlfn.IFNA(_xlfn.IFS(AH215&gt;Dash!$I$46, "Big", AH215&lt;Dash!$I$49, "Small", AH215&gt;Dash!$I$47, "Good"), "Norm")</f>
        <v>Small</v>
      </c>
    </row>
    <row r="216" spans="1:35" x14ac:dyDescent="0.25">
      <c r="A216" s="1">
        <v>45483</v>
      </c>
      <c r="B216" t="s">
        <v>18</v>
      </c>
      <c r="C216" t="s">
        <v>13</v>
      </c>
      <c r="D216" t="s">
        <v>28</v>
      </c>
      <c r="E216">
        <v>213.75</v>
      </c>
      <c r="F216">
        <v>900</v>
      </c>
      <c r="G216">
        <v>900</v>
      </c>
      <c r="J216" t="s">
        <v>27</v>
      </c>
      <c r="K216" t="s">
        <v>31</v>
      </c>
      <c r="L216" t="s">
        <v>32</v>
      </c>
      <c r="M216" t="s">
        <v>19</v>
      </c>
      <c r="N216">
        <v>9</v>
      </c>
      <c r="R216" t="s">
        <v>33</v>
      </c>
      <c r="S216" t="s">
        <v>48</v>
      </c>
      <c r="T216">
        <v>606.5</v>
      </c>
      <c r="U216" t="str">
        <f>_xlfn.IFNA(_xlfn.IFS(E216&gt;Dash!$D$46, "Big", E216&lt;Dash!$D$49, "Small", E216&gt;Dash!$D$47, "Good"), "Norm")</f>
        <v>Norm</v>
      </c>
      <c r="V216" t="s">
        <v>33</v>
      </c>
      <c r="W216">
        <v>156</v>
      </c>
      <c r="X216" t="s">
        <v>43</v>
      </c>
      <c r="Y216" s="1">
        <v>45483</v>
      </c>
      <c r="Z216">
        <v>32.75</v>
      </c>
      <c r="AA216" t="str">
        <f>_xlfn.IFNA(_xlfn.IFS(Z216&gt;Dash!$E$46, "Big", Z216&lt;Dash!$E$49, "Small", Z216&gt;Dash!$E$47, "Good"), "Norm")</f>
        <v>Small</v>
      </c>
      <c r="AB216">
        <v>63</v>
      </c>
      <c r="AC216" t="str">
        <f>_xlfn.IFNA(_xlfn.IFS(AB216&gt;Dash!$F$46, "Big", AB216&lt;Dash!$F$49, "Small", AB216&gt;Dash!$F$47, "Good"), "Norm")</f>
        <v>Norm</v>
      </c>
      <c r="AD216">
        <v>93.5</v>
      </c>
      <c r="AE216" t="str">
        <f>_xlfn.IFNA(_xlfn.IFS(AD216&gt;Dash!$G$46, "Big", AD216&lt;Dash!$G$49, "Small", AD216&gt;Dash!$G$47, "Good"), "Norm")</f>
        <v>Small</v>
      </c>
      <c r="AF216">
        <v>156.5</v>
      </c>
      <c r="AG216" t="str">
        <f>_xlfn.IFNA(_xlfn.IFS(AF216&gt;Dash!$H$46, "Big", AF216&lt;Dash!$H$49, "Small", AF216&gt;Dash!$H$47, "Good"), "Norm")</f>
        <v>Good</v>
      </c>
      <c r="AH216">
        <v>19.25</v>
      </c>
      <c r="AI216" t="str">
        <f>_xlfn.IFNA(_xlfn.IFS(AH216&gt;Dash!$I$46, "Big", AH216&lt;Dash!$I$49, "Small", AH216&gt;Dash!$I$47, "Good"), "Norm")</f>
        <v>Small</v>
      </c>
    </row>
    <row r="217" spans="1:35" x14ac:dyDescent="0.25">
      <c r="A217" s="1">
        <v>45484</v>
      </c>
      <c r="B217" t="s">
        <v>36</v>
      </c>
      <c r="C217" t="s">
        <v>33</v>
      </c>
      <c r="D217" t="s">
        <v>48</v>
      </c>
      <c r="E217">
        <v>606.5</v>
      </c>
      <c r="F217">
        <v>800</v>
      </c>
      <c r="G217">
        <v>800</v>
      </c>
      <c r="H217">
        <v>1000</v>
      </c>
      <c r="J217" t="s">
        <v>27</v>
      </c>
      <c r="K217" t="s">
        <v>35</v>
      </c>
      <c r="L217" t="s">
        <v>17</v>
      </c>
      <c r="M217" t="s">
        <v>19</v>
      </c>
      <c r="N217">
        <v>9</v>
      </c>
      <c r="R217" t="s">
        <v>33</v>
      </c>
      <c r="S217" t="s">
        <v>46</v>
      </c>
      <c r="T217">
        <v>406</v>
      </c>
      <c r="U217" t="str">
        <f>_xlfn.IFNA(_xlfn.IFS(E217&gt;Dash!$D$46, "Big", E217&lt;Dash!$D$49, "Small", E217&gt;Dash!$D$47, "Good"), "Norm")</f>
        <v>Big</v>
      </c>
      <c r="V217" t="s">
        <v>13</v>
      </c>
      <c r="W217">
        <v>213.75</v>
      </c>
      <c r="X217" t="s">
        <v>28</v>
      </c>
      <c r="Y217" s="1">
        <v>45484</v>
      </c>
      <c r="Z217">
        <v>45.75</v>
      </c>
      <c r="AA217" t="str">
        <f>_xlfn.IFNA(_xlfn.IFS(Z217&gt;Dash!$E$46, "Big", Z217&lt;Dash!$E$49, "Small", Z217&gt;Dash!$E$47, "Good"), "Norm")</f>
        <v>Norm</v>
      </c>
      <c r="AB217">
        <v>23.75</v>
      </c>
      <c r="AC217" t="str">
        <f>_xlfn.IFNA(_xlfn.IFS(AB217&gt;Dash!$F$46, "Big", AB217&lt;Dash!$F$49, "Small", AB217&gt;Dash!$F$47, "Good"), "Norm")</f>
        <v>Small</v>
      </c>
      <c r="AD217">
        <v>508</v>
      </c>
      <c r="AE217" t="str">
        <f>_xlfn.IFNA(_xlfn.IFS(AD217&gt;Dash!$G$46, "Big", AD217&lt;Dash!$G$49, "Small", AD217&gt;Dash!$G$47, "Good"), "Norm")</f>
        <v>Big</v>
      </c>
      <c r="AF217">
        <v>162</v>
      </c>
      <c r="AG217" t="str">
        <f>_xlfn.IFNA(_xlfn.IFS(AF217&gt;Dash!$H$46, "Big", AF217&lt;Dash!$H$49, "Small", AF217&gt;Dash!$H$47, "Good"), "Norm")</f>
        <v>Good</v>
      </c>
      <c r="AH217">
        <v>53.25</v>
      </c>
      <c r="AI217" t="str">
        <f>_xlfn.IFNA(_xlfn.IFS(AH217&gt;Dash!$I$46, "Big", AH217&lt;Dash!$I$49, "Small", AH217&gt;Dash!$I$47, "Good"), "Norm")</f>
        <v>Good</v>
      </c>
    </row>
    <row r="218" spans="1:35" x14ac:dyDescent="0.25">
      <c r="A218" s="1">
        <v>45485</v>
      </c>
      <c r="B218" t="s">
        <v>26</v>
      </c>
      <c r="C218" t="s">
        <v>33</v>
      </c>
      <c r="D218" t="s">
        <v>46</v>
      </c>
      <c r="E218">
        <v>406</v>
      </c>
      <c r="F218">
        <v>100</v>
      </c>
      <c r="G218">
        <v>100</v>
      </c>
      <c r="J218" t="s">
        <v>37</v>
      </c>
      <c r="K218" t="s">
        <v>25</v>
      </c>
      <c r="L218" t="s">
        <v>32</v>
      </c>
      <c r="M218" t="s">
        <v>19</v>
      </c>
      <c r="N218">
        <v>9</v>
      </c>
      <c r="R218" t="s">
        <v>33</v>
      </c>
      <c r="S218" t="s">
        <v>43</v>
      </c>
      <c r="T218">
        <v>290.75</v>
      </c>
      <c r="U218" t="str">
        <f>_xlfn.IFNA(_xlfn.IFS(E218&gt;Dash!$D$46, "Big", E218&lt;Dash!$D$49, "Small", E218&gt;Dash!$D$47, "Good"), "Norm")</f>
        <v>Big</v>
      </c>
      <c r="V218" t="s">
        <v>33</v>
      </c>
      <c r="W218">
        <v>606.5</v>
      </c>
      <c r="X218" t="s">
        <v>48</v>
      </c>
      <c r="Y218" s="1">
        <v>45485</v>
      </c>
      <c r="Z218">
        <v>87</v>
      </c>
      <c r="AA218" t="str">
        <f>_xlfn.IFNA(_xlfn.IFS(Z218&gt;Dash!$E$46, "Big", Z218&lt;Dash!$E$49, "Small", Z218&gt;Dash!$E$47, "Good"), "Norm")</f>
        <v>Good</v>
      </c>
      <c r="AB218">
        <v>67.5</v>
      </c>
      <c r="AC218" t="str">
        <f>_xlfn.IFNA(_xlfn.IFS(AB218&gt;Dash!$F$46, "Big", AB218&lt;Dash!$F$49, "Small", AB218&gt;Dash!$F$47, "Good"), "Norm")</f>
        <v>Norm</v>
      </c>
      <c r="AD218">
        <v>331.75</v>
      </c>
      <c r="AE218" t="str">
        <f>_xlfn.IFNA(_xlfn.IFS(AD218&gt;Dash!$G$46, "Big", AD218&lt;Dash!$G$49, "Small", AD218&gt;Dash!$G$47, "Good"), "Norm")</f>
        <v>Big</v>
      </c>
      <c r="AF218">
        <v>230.75</v>
      </c>
      <c r="AG218" t="str">
        <f>_xlfn.IFNA(_xlfn.IFS(AF218&gt;Dash!$H$46, "Big", AF218&lt;Dash!$H$49, "Small", AF218&gt;Dash!$H$47, "Good"), "Norm")</f>
        <v>Good</v>
      </c>
      <c r="AH218">
        <v>36.5</v>
      </c>
      <c r="AI218" t="str">
        <f>_xlfn.IFNA(_xlfn.IFS(AH218&gt;Dash!$I$46, "Big", AH218&lt;Dash!$I$49, "Small", AH218&gt;Dash!$I$47, "Good"), "Norm")</f>
        <v>Norm</v>
      </c>
    </row>
    <row r="219" spans="1:35" x14ac:dyDescent="0.25">
      <c r="A219" s="1">
        <v>45488</v>
      </c>
      <c r="B219" t="s">
        <v>23</v>
      </c>
      <c r="C219" t="s">
        <v>33</v>
      </c>
      <c r="D219" t="s">
        <v>43</v>
      </c>
      <c r="E219">
        <v>290.75</v>
      </c>
      <c r="F219">
        <v>1100</v>
      </c>
      <c r="G219">
        <v>1100</v>
      </c>
      <c r="J219" t="s">
        <v>27</v>
      </c>
      <c r="K219" t="s">
        <v>35</v>
      </c>
      <c r="L219" t="s">
        <v>17</v>
      </c>
      <c r="M219" t="s">
        <v>23</v>
      </c>
      <c r="N219">
        <v>5</v>
      </c>
      <c r="R219" t="s">
        <v>33</v>
      </c>
      <c r="S219" t="s">
        <v>46</v>
      </c>
      <c r="T219">
        <v>220</v>
      </c>
      <c r="U219" t="str">
        <f>_xlfn.IFNA(_xlfn.IFS(E219&gt;Dash!$D$46, "Big", E219&lt;Dash!$D$49, "Small", E219&gt;Dash!$D$47, "Good"), "Norm")</f>
        <v>Good</v>
      </c>
      <c r="V219" t="s">
        <v>33</v>
      </c>
      <c r="W219">
        <v>406</v>
      </c>
      <c r="X219" t="s">
        <v>46</v>
      </c>
      <c r="Y219" s="1">
        <v>45488</v>
      </c>
      <c r="Z219">
        <v>105.5</v>
      </c>
      <c r="AA219" t="str">
        <f>_xlfn.IFNA(_xlfn.IFS(Z219&gt;Dash!$E$46, "Big", Z219&lt;Dash!$E$49, "Small", Z219&gt;Dash!$E$47, "Good"), "Norm")</f>
        <v>Good</v>
      </c>
      <c r="AB219">
        <v>55.5</v>
      </c>
      <c r="AC219" t="str">
        <f>_xlfn.IFNA(_xlfn.IFS(AB219&gt;Dash!$F$46, "Big", AB219&lt;Dash!$F$49, "Small", AB219&gt;Dash!$F$47, "Good"), "Norm")</f>
        <v>Small</v>
      </c>
      <c r="AD219">
        <v>215.25</v>
      </c>
      <c r="AE219" t="str">
        <f>_xlfn.IFNA(_xlfn.IFS(AD219&gt;Dash!$G$46, "Big", AD219&lt;Dash!$G$49, "Small", AD219&gt;Dash!$G$47, "Good"), "Norm")</f>
        <v>Good</v>
      </c>
      <c r="AF219">
        <v>198.5</v>
      </c>
      <c r="AG219" t="str">
        <f>_xlfn.IFNA(_xlfn.IFS(AF219&gt;Dash!$H$46, "Big", AF219&lt;Dash!$H$49, "Small", AF219&gt;Dash!$H$47, "Good"), "Norm")</f>
        <v>Good</v>
      </c>
      <c r="AH219">
        <v>46.25</v>
      </c>
      <c r="AI219" t="str">
        <f>_xlfn.IFNA(_xlfn.IFS(AH219&gt;Dash!$I$46, "Big", AH219&lt;Dash!$I$49, "Small", AH219&gt;Dash!$I$47, "Good"), "Norm")</f>
        <v>Good</v>
      </c>
    </row>
    <row r="220" spans="1:35" x14ac:dyDescent="0.25">
      <c r="A220" s="1">
        <v>45489</v>
      </c>
      <c r="B220" t="s">
        <v>19</v>
      </c>
      <c r="C220" t="s">
        <v>33</v>
      </c>
      <c r="D220" t="s">
        <v>46</v>
      </c>
      <c r="E220">
        <v>220</v>
      </c>
      <c r="F220">
        <v>1000</v>
      </c>
      <c r="G220">
        <v>1000</v>
      </c>
      <c r="J220" t="s">
        <v>45</v>
      </c>
      <c r="K220" t="s">
        <v>35</v>
      </c>
      <c r="L220" t="s">
        <v>17</v>
      </c>
      <c r="M220" t="s">
        <v>23</v>
      </c>
      <c r="N220">
        <v>5</v>
      </c>
      <c r="R220" t="s">
        <v>13</v>
      </c>
      <c r="S220" t="s">
        <v>14</v>
      </c>
      <c r="T220">
        <v>332.5</v>
      </c>
      <c r="U220" t="str">
        <f>_xlfn.IFNA(_xlfn.IFS(E220&gt;Dash!$D$46, "Big", E220&lt;Dash!$D$49, "Small", E220&gt;Dash!$D$47, "Good"), "Norm")</f>
        <v>Norm</v>
      </c>
      <c r="V220" t="s">
        <v>33</v>
      </c>
      <c r="W220">
        <v>290.75</v>
      </c>
      <c r="X220" t="s">
        <v>43</v>
      </c>
      <c r="Y220" s="1">
        <v>45489</v>
      </c>
      <c r="Z220">
        <v>36</v>
      </c>
      <c r="AA220" t="str">
        <f>_xlfn.IFNA(_xlfn.IFS(Z220&gt;Dash!$E$46, "Big", Z220&lt;Dash!$E$49, "Small", Z220&gt;Dash!$E$47, "Good"), "Norm")</f>
        <v>Small</v>
      </c>
      <c r="AB220">
        <v>99.75</v>
      </c>
      <c r="AC220" t="str">
        <f>_xlfn.IFNA(_xlfn.IFS(AB220&gt;Dash!$F$46, "Big", AB220&lt;Dash!$F$49, "Small", AB220&gt;Dash!$F$47, "Good"), "Norm")</f>
        <v>Good</v>
      </c>
      <c r="AD220">
        <v>199</v>
      </c>
      <c r="AE220" t="str">
        <f>_xlfn.IFNA(_xlfn.IFS(AD220&gt;Dash!$G$46, "Big", AD220&lt;Dash!$G$49, "Small", AD220&gt;Dash!$G$47, "Good"), "Norm")</f>
        <v>Norm</v>
      </c>
      <c r="AF220">
        <v>149.75</v>
      </c>
      <c r="AG220" t="str">
        <f>_xlfn.IFNA(_xlfn.IFS(AF220&gt;Dash!$H$46, "Big", AF220&lt;Dash!$H$49, "Small", AF220&gt;Dash!$H$47, "Good"), "Norm")</f>
        <v>Norm</v>
      </c>
      <c r="AH220">
        <v>22</v>
      </c>
      <c r="AI220" t="str">
        <f>_xlfn.IFNA(_xlfn.IFS(AH220&gt;Dash!$I$46, "Big", AH220&lt;Dash!$I$49, "Small", AH220&gt;Dash!$I$47, "Good"), "Norm")</f>
        <v>Norm</v>
      </c>
    </row>
    <row r="221" spans="1:35" x14ac:dyDescent="0.25">
      <c r="A221" s="1">
        <v>45490</v>
      </c>
      <c r="B221" t="s">
        <v>18</v>
      </c>
      <c r="C221" t="s">
        <v>13</v>
      </c>
      <c r="D221" t="s">
        <v>14</v>
      </c>
      <c r="E221">
        <v>332.5</v>
      </c>
      <c r="F221">
        <v>200</v>
      </c>
      <c r="J221" t="s">
        <v>15</v>
      </c>
      <c r="K221" t="s">
        <v>16</v>
      </c>
      <c r="L221" t="s">
        <v>17</v>
      </c>
      <c r="M221" t="s">
        <v>23</v>
      </c>
      <c r="N221">
        <v>5</v>
      </c>
      <c r="R221" t="s">
        <v>20</v>
      </c>
      <c r="S221" t="s">
        <v>14</v>
      </c>
      <c r="T221">
        <v>403.75</v>
      </c>
      <c r="U221" t="str">
        <f>_xlfn.IFNA(_xlfn.IFS(E221&gt;Dash!$D$46, "Big", E221&lt;Dash!$D$49, "Small", E221&gt;Dash!$D$47, "Good"), "Norm")</f>
        <v>Good</v>
      </c>
      <c r="V221" t="s">
        <v>33</v>
      </c>
      <c r="W221">
        <v>220</v>
      </c>
      <c r="X221" t="s">
        <v>46</v>
      </c>
      <c r="Y221" s="1">
        <v>45490</v>
      </c>
      <c r="Z221">
        <v>90.5</v>
      </c>
      <c r="AA221" t="str">
        <f>_xlfn.IFNA(_xlfn.IFS(Z221&gt;Dash!$E$46, "Big", Z221&lt;Dash!$E$49, "Small", Z221&gt;Dash!$E$47, "Good"), "Norm")</f>
        <v>Good</v>
      </c>
      <c r="AB221">
        <v>253.5</v>
      </c>
      <c r="AC221" t="str">
        <f>_xlfn.IFNA(_xlfn.IFS(AB221&gt;Dash!$F$46, "Big", AB221&lt;Dash!$F$49, "Small", AB221&gt;Dash!$F$47, "Good"), "Norm")</f>
        <v>Big</v>
      </c>
      <c r="AD221">
        <v>267.25</v>
      </c>
      <c r="AE221" t="str">
        <f>_xlfn.IFNA(_xlfn.IFS(AD221&gt;Dash!$G$46, "Big", AD221&lt;Dash!$G$49, "Small", AD221&gt;Dash!$G$47, "Good"), "Norm")</f>
        <v>Good</v>
      </c>
      <c r="AF221">
        <v>101.5</v>
      </c>
      <c r="AG221" t="str">
        <f>_xlfn.IFNA(_xlfn.IFS(AF221&gt;Dash!$H$46, "Big", AF221&lt;Dash!$H$49, "Small", AF221&gt;Dash!$H$47, "Good"), "Norm")</f>
        <v>Norm</v>
      </c>
      <c r="AH221">
        <v>59</v>
      </c>
      <c r="AI221" t="str">
        <f>_xlfn.IFNA(_xlfn.IFS(AH221&gt;Dash!$I$46, "Big", AH221&lt;Dash!$I$49, "Small", AH221&gt;Dash!$I$47, "Good"), "Norm")</f>
        <v>Good</v>
      </c>
    </row>
    <row r="222" spans="1:35" x14ac:dyDescent="0.25">
      <c r="A222" s="1">
        <v>45491</v>
      </c>
      <c r="B222" t="s">
        <v>36</v>
      </c>
      <c r="C222" t="s">
        <v>20</v>
      </c>
      <c r="D222" t="s">
        <v>14</v>
      </c>
      <c r="E222">
        <v>403.75</v>
      </c>
      <c r="F222">
        <v>1000</v>
      </c>
      <c r="G222">
        <v>1000</v>
      </c>
      <c r="J222" t="s">
        <v>45</v>
      </c>
      <c r="K222" t="s">
        <v>22</v>
      </c>
      <c r="L222" t="s">
        <v>17</v>
      </c>
      <c r="M222" t="s">
        <v>23</v>
      </c>
      <c r="N222">
        <v>5</v>
      </c>
      <c r="O222" t="s">
        <v>62</v>
      </c>
      <c r="R222" t="s">
        <v>20</v>
      </c>
      <c r="S222" t="s">
        <v>14</v>
      </c>
      <c r="T222">
        <v>322.5</v>
      </c>
      <c r="U222" t="str">
        <f>_xlfn.IFNA(_xlfn.IFS(E222&gt;Dash!$D$46, "Big", E222&lt;Dash!$D$49, "Small", E222&gt;Dash!$D$47, "Good"), "Norm")</f>
        <v>Big</v>
      </c>
      <c r="V222" t="s">
        <v>13</v>
      </c>
      <c r="W222">
        <v>332.5</v>
      </c>
      <c r="X222" t="s">
        <v>14</v>
      </c>
      <c r="Y222" s="1">
        <v>45491</v>
      </c>
      <c r="Z222">
        <v>55.75</v>
      </c>
      <c r="AA222" t="str">
        <f>_xlfn.IFNA(_xlfn.IFS(Z222&gt;Dash!$E$46, "Big", Z222&lt;Dash!$E$49, "Small", Z222&gt;Dash!$E$47, "Good"), "Norm")</f>
        <v>Norm</v>
      </c>
      <c r="AB222">
        <v>144</v>
      </c>
      <c r="AC222" t="str">
        <f>_xlfn.IFNA(_xlfn.IFS(AB222&gt;Dash!$F$46, "Big", AB222&lt;Dash!$F$49, "Small", AB222&gt;Dash!$F$47, "Good"), "Norm")</f>
        <v>Good</v>
      </c>
      <c r="AD222">
        <v>377.5</v>
      </c>
      <c r="AE222" t="str">
        <f>_xlfn.IFNA(_xlfn.IFS(AD222&gt;Dash!$G$46, "Big", AD222&lt;Dash!$G$49, "Small", AD222&gt;Dash!$G$47, "Good"), "Norm")</f>
        <v>Big</v>
      </c>
      <c r="AF222">
        <v>202.25</v>
      </c>
      <c r="AG222" t="str">
        <f>_xlfn.IFNA(_xlfn.IFS(AF222&gt;Dash!$H$46, "Big", AF222&lt;Dash!$H$49, "Small", AF222&gt;Dash!$H$47, "Good"), "Norm")</f>
        <v>Good</v>
      </c>
      <c r="AH222">
        <v>88.5</v>
      </c>
      <c r="AI222" t="str">
        <f>_xlfn.IFNA(_xlfn.IFS(AH222&gt;Dash!$I$46, "Big", AH222&lt;Dash!$I$49, "Small", AH222&gt;Dash!$I$47, "Good"), "Norm")</f>
        <v>Big</v>
      </c>
    </row>
    <row r="223" spans="1:35" x14ac:dyDescent="0.25">
      <c r="A223" s="1">
        <v>45492</v>
      </c>
      <c r="B223" t="s">
        <v>26</v>
      </c>
      <c r="C223" t="s">
        <v>20</v>
      </c>
      <c r="D223" t="s">
        <v>14</v>
      </c>
      <c r="E223">
        <v>322.5</v>
      </c>
      <c r="F223">
        <v>300</v>
      </c>
      <c r="G223">
        <v>300</v>
      </c>
      <c r="J223" t="s">
        <v>15</v>
      </c>
      <c r="K223" t="s">
        <v>22</v>
      </c>
      <c r="L223" t="s">
        <v>17</v>
      </c>
      <c r="M223" t="s">
        <v>23</v>
      </c>
      <c r="N223">
        <v>5</v>
      </c>
      <c r="O223" t="s">
        <v>61</v>
      </c>
      <c r="R223" t="s">
        <v>13</v>
      </c>
      <c r="S223" t="s">
        <v>28</v>
      </c>
      <c r="T223">
        <v>235</v>
      </c>
      <c r="U223" t="str">
        <f>_xlfn.IFNA(_xlfn.IFS(E223&gt;Dash!$D$46, "Big", E223&lt;Dash!$D$49, "Small", E223&gt;Dash!$D$47, "Good"), "Norm")</f>
        <v>Good</v>
      </c>
      <c r="V223" t="s">
        <v>20</v>
      </c>
      <c r="W223">
        <v>403.75</v>
      </c>
      <c r="X223" t="s">
        <v>14</v>
      </c>
      <c r="Y223" s="1">
        <v>45492</v>
      </c>
      <c r="Z223">
        <v>41.5</v>
      </c>
      <c r="AA223" t="str">
        <f>_xlfn.IFNA(_xlfn.IFS(Z223&gt;Dash!$E$46, "Big", Z223&lt;Dash!$E$49, "Small", Z223&gt;Dash!$E$47, "Good"), "Norm")</f>
        <v>Norm</v>
      </c>
      <c r="AB223">
        <v>226.25</v>
      </c>
      <c r="AC223" t="str">
        <f>_xlfn.IFNA(_xlfn.IFS(AB223&gt;Dash!$F$46, "Big", AB223&lt;Dash!$F$49, "Small", AB223&gt;Dash!$F$47, "Good"), "Norm")</f>
        <v>Big</v>
      </c>
      <c r="AD223">
        <v>272.5</v>
      </c>
      <c r="AE223" t="str">
        <f>_xlfn.IFNA(_xlfn.IFS(AD223&gt;Dash!$G$46, "Big", AD223&lt;Dash!$G$49, "Small", AD223&gt;Dash!$G$47, "Good"), "Norm")</f>
        <v>Good</v>
      </c>
      <c r="AF223">
        <v>172.25</v>
      </c>
      <c r="AG223" t="str">
        <f>_xlfn.IFNA(_xlfn.IFS(AF223&gt;Dash!$H$46, "Big", AF223&lt;Dash!$H$49, "Small", AF223&gt;Dash!$H$47, "Good"), "Norm")</f>
        <v>Good</v>
      </c>
      <c r="AH223">
        <v>45.5</v>
      </c>
      <c r="AI223" t="str">
        <f>_xlfn.IFNA(_xlfn.IFS(AH223&gt;Dash!$I$46, "Big", AH223&lt;Dash!$I$49, "Small", AH223&gt;Dash!$I$47, "Good"), "Norm")</f>
        <v>Good</v>
      </c>
    </row>
    <row r="224" spans="1:35" x14ac:dyDescent="0.25">
      <c r="A224" s="1">
        <v>45495</v>
      </c>
      <c r="B224" t="s">
        <v>23</v>
      </c>
      <c r="C224" t="s">
        <v>13</v>
      </c>
      <c r="D224" t="s">
        <v>28</v>
      </c>
      <c r="E224">
        <v>235</v>
      </c>
      <c r="F224">
        <v>900</v>
      </c>
      <c r="G224">
        <v>900</v>
      </c>
      <c r="J224" t="s">
        <v>27</v>
      </c>
      <c r="K224" t="s">
        <v>31</v>
      </c>
      <c r="L224" t="s">
        <v>32</v>
      </c>
      <c r="M224" t="s">
        <v>18</v>
      </c>
      <c r="N224">
        <v>5</v>
      </c>
      <c r="R224" t="s">
        <v>41</v>
      </c>
      <c r="S224" t="s">
        <v>43</v>
      </c>
      <c r="T224">
        <v>180.75</v>
      </c>
      <c r="U224" t="str">
        <f>_xlfn.IFNA(_xlfn.IFS(E224&gt;Dash!$D$46, "Big", E224&lt;Dash!$D$49, "Small", E224&gt;Dash!$D$47, "Good"), "Norm")</f>
        <v>Norm</v>
      </c>
      <c r="V224" t="s">
        <v>20</v>
      </c>
      <c r="W224">
        <v>322.5</v>
      </c>
      <c r="X224" t="s">
        <v>14</v>
      </c>
      <c r="Y224" s="1">
        <v>45495</v>
      </c>
      <c r="Z224">
        <v>123.25</v>
      </c>
      <c r="AA224" t="str">
        <f>_xlfn.IFNA(_xlfn.IFS(Z224&gt;Dash!$E$46, "Big", Z224&lt;Dash!$E$49, "Small", Z224&gt;Dash!$E$47, "Good"), "Norm")</f>
        <v>Good</v>
      </c>
      <c r="AB224">
        <v>141.25</v>
      </c>
      <c r="AC224" t="str">
        <f>_xlfn.IFNA(_xlfn.IFS(AB224&gt;Dash!$F$46, "Big", AB224&lt;Dash!$F$49, "Small", AB224&gt;Dash!$F$47, "Good"), "Norm")</f>
        <v>Good</v>
      </c>
      <c r="AD224">
        <v>217</v>
      </c>
      <c r="AE224" t="str">
        <f>_xlfn.IFNA(_xlfn.IFS(AD224&gt;Dash!$G$46, "Big", AD224&lt;Dash!$G$49, "Small", AD224&gt;Dash!$G$47, "Good"), "Norm")</f>
        <v>Good</v>
      </c>
      <c r="AF224">
        <v>209.25</v>
      </c>
      <c r="AG224" t="str">
        <f>_xlfn.IFNA(_xlfn.IFS(AF224&gt;Dash!$H$46, "Big", AF224&lt;Dash!$H$49, "Small", AF224&gt;Dash!$H$47, "Good"), "Norm")</f>
        <v>Good</v>
      </c>
      <c r="AH224">
        <v>48.25</v>
      </c>
      <c r="AI224" t="str">
        <f>_xlfn.IFNA(_xlfn.IFS(AH224&gt;Dash!$I$46, "Big", AH224&lt;Dash!$I$49, "Small", AH224&gt;Dash!$I$47, "Good"), "Norm")</f>
        <v>Good</v>
      </c>
    </row>
    <row r="225" spans="1:35" x14ac:dyDescent="0.25">
      <c r="A225" s="1">
        <v>45496</v>
      </c>
      <c r="B225" t="s">
        <v>19</v>
      </c>
      <c r="C225" t="s">
        <v>41</v>
      </c>
      <c r="D225" t="s">
        <v>43</v>
      </c>
      <c r="E225">
        <v>180.75</v>
      </c>
      <c r="F225">
        <v>1000</v>
      </c>
      <c r="G225">
        <v>1000</v>
      </c>
      <c r="J225" t="s">
        <v>27</v>
      </c>
      <c r="K225" t="s">
        <v>39</v>
      </c>
      <c r="L225" t="s">
        <v>35</v>
      </c>
      <c r="M225" t="s">
        <v>18</v>
      </c>
      <c r="N225">
        <v>5</v>
      </c>
      <c r="O225" t="s">
        <v>71</v>
      </c>
      <c r="R225" t="s">
        <v>13</v>
      </c>
      <c r="S225" t="s">
        <v>47</v>
      </c>
      <c r="T225">
        <v>536.25</v>
      </c>
      <c r="U225" t="str">
        <f>_xlfn.IFNA(_xlfn.IFS(E225&gt;Dash!$D$46, "Big", E225&lt;Dash!$D$49, "Small", E225&gt;Dash!$D$47, "Good"), "Norm")</f>
        <v>Norm</v>
      </c>
      <c r="V225" t="s">
        <v>13</v>
      </c>
      <c r="W225">
        <v>235</v>
      </c>
      <c r="X225" t="s">
        <v>28</v>
      </c>
      <c r="Y225" s="1">
        <v>45496</v>
      </c>
      <c r="Z225">
        <v>86.75</v>
      </c>
      <c r="AA225" t="str">
        <f>_xlfn.IFNA(_xlfn.IFS(Z225&gt;Dash!$E$46, "Big", Z225&lt;Dash!$E$49, "Small", Z225&gt;Dash!$E$47, "Good"), "Norm")</f>
        <v>Good</v>
      </c>
      <c r="AB225">
        <v>147.25</v>
      </c>
      <c r="AC225" t="str">
        <f>_xlfn.IFNA(_xlfn.IFS(AB225&gt;Dash!$F$46, "Big", AB225&lt;Dash!$F$49, "Small", AB225&gt;Dash!$F$47, "Good"), "Norm")</f>
        <v>Good</v>
      </c>
      <c r="AD225">
        <v>161</v>
      </c>
      <c r="AE225" t="str">
        <f>_xlfn.IFNA(_xlfn.IFS(AD225&gt;Dash!$G$46, "Big", AD225&lt;Dash!$G$49, "Small", AD225&gt;Dash!$G$47, "Good"), "Norm")</f>
        <v>Norm</v>
      </c>
      <c r="AF225">
        <v>136.75</v>
      </c>
      <c r="AG225" t="str">
        <f>_xlfn.IFNA(_xlfn.IFS(AF225&gt;Dash!$H$46, "Big", AF225&lt;Dash!$H$49, "Small", AF225&gt;Dash!$H$47, "Good"), "Norm")</f>
        <v>Norm</v>
      </c>
      <c r="AH225">
        <v>97</v>
      </c>
      <c r="AI225" t="str">
        <f>_xlfn.IFNA(_xlfn.IFS(AH225&gt;Dash!$I$46, "Big", AH225&lt;Dash!$I$49, "Small", AH225&gt;Dash!$I$47, "Good"), "Norm")</f>
        <v>Big</v>
      </c>
    </row>
    <row r="226" spans="1:35" x14ac:dyDescent="0.25">
      <c r="A226" s="1">
        <v>45497</v>
      </c>
      <c r="B226" t="s">
        <v>18</v>
      </c>
      <c r="C226" t="s">
        <v>13</v>
      </c>
      <c r="D226" t="s">
        <v>47</v>
      </c>
      <c r="E226">
        <v>536.25</v>
      </c>
      <c r="F226">
        <v>1800</v>
      </c>
      <c r="J226" t="s">
        <v>37</v>
      </c>
      <c r="K226" t="s">
        <v>16</v>
      </c>
      <c r="L226" t="s">
        <v>17</v>
      </c>
      <c r="M226" t="s">
        <v>18</v>
      </c>
      <c r="N226">
        <v>5</v>
      </c>
      <c r="R226" t="s">
        <v>33</v>
      </c>
      <c r="S226" t="s">
        <v>14</v>
      </c>
      <c r="T226">
        <v>507.25</v>
      </c>
      <c r="U226" t="str">
        <f>_xlfn.IFNA(_xlfn.IFS(E226&gt;Dash!$D$46, "Big", E226&lt;Dash!$D$49, "Small", E226&gt;Dash!$D$47, "Good"), "Norm")</f>
        <v>Big</v>
      </c>
      <c r="V226" t="s">
        <v>41</v>
      </c>
      <c r="W226">
        <v>180.75</v>
      </c>
      <c r="X226" t="s">
        <v>43</v>
      </c>
      <c r="Y226" s="1">
        <v>45497</v>
      </c>
      <c r="Z226">
        <v>161.75</v>
      </c>
      <c r="AA226" t="str">
        <f>_xlfn.IFNA(_xlfn.IFS(Z226&gt;Dash!$E$46, "Big", Z226&lt;Dash!$E$49, "Small", Z226&gt;Dash!$E$47, "Good"), "Norm")</f>
        <v>Big</v>
      </c>
      <c r="AB226">
        <v>92.25</v>
      </c>
      <c r="AC226" t="str">
        <f>_xlfn.IFNA(_xlfn.IFS(AB226&gt;Dash!$F$46, "Big", AB226&lt;Dash!$F$49, "Small", AB226&gt;Dash!$F$47, "Good"), "Norm")</f>
        <v>Norm</v>
      </c>
      <c r="AD226">
        <v>347.75</v>
      </c>
      <c r="AE226" t="str">
        <f>_xlfn.IFNA(_xlfn.IFS(AD226&gt;Dash!$G$46, "Big", AD226&lt;Dash!$G$49, "Small", AD226&gt;Dash!$G$47, "Good"), "Norm")</f>
        <v>Big</v>
      </c>
      <c r="AF226">
        <v>211.75</v>
      </c>
      <c r="AG226" t="str">
        <f>_xlfn.IFNA(_xlfn.IFS(AF226&gt;Dash!$H$46, "Big", AF226&lt;Dash!$H$49, "Small", AF226&gt;Dash!$H$47, "Good"), "Norm")</f>
        <v>Good</v>
      </c>
      <c r="AH226">
        <v>85.75</v>
      </c>
      <c r="AI226" t="str">
        <f>_xlfn.IFNA(_xlfn.IFS(AH226&gt;Dash!$I$46, "Big", AH226&lt;Dash!$I$49, "Small", AH226&gt;Dash!$I$47, "Good"), "Norm")</f>
        <v>Big</v>
      </c>
    </row>
    <row r="227" spans="1:35" x14ac:dyDescent="0.25">
      <c r="A227" s="1">
        <v>45498</v>
      </c>
      <c r="B227" t="s">
        <v>36</v>
      </c>
      <c r="C227" t="s">
        <v>33</v>
      </c>
      <c r="D227" t="s">
        <v>14</v>
      </c>
      <c r="E227">
        <v>507.25</v>
      </c>
      <c r="F227">
        <v>200</v>
      </c>
      <c r="G227">
        <v>200</v>
      </c>
      <c r="J227" t="s">
        <v>15</v>
      </c>
      <c r="K227" t="s">
        <v>25</v>
      </c>
      <c r="L227" t="s">
        <v>32</v>
      </c>
      <c r="M227" t="s">
        <v>18</v>
      </c>
      <c r="N227">
        <v>5</v>
      </c>
      <c r="R227" t="s">
        <v>13</v>
      </c>
      <c r="S227">
        <v>1</v>
      </c>
      <c r="T227">
        <v>257.5</v>
      </c>
      <c r="U227" t="str">
        <f>_xlfn.IFNA(_xlfn.IFS(E227&gt;Dash!$D$46, "Big", E227&lt;Dash!$D$49, "Small", E227&gt;Dash!$D$47, "Good"), "Norm")</f>
        <v>Big</v>
      </c>
      <c r="V227" t="s">
        <v>13</v>
      </c>
      <c r="W227">
        <v>536.25</v>
      </c>
      <c r="X227" t="s">
        <v>47</v>
      </c>
      <c r="Y227" s="1">
        <v>45498</v>
      </c>
      <c r="Z227">
        <v>88.5</v>
      </c>
      <c r="AA227" t="str">
        <f>_xlfn.IFNA(_xlfn.IFS(Z227&gt;Dash!$E$46, "Big", Z227&lt;Dash!$E$49, "Small", Z227&gt;Dash!$E$47, "Good"), "Norm")</f>
        <v>Good</v>
      </c>
      <c r="AB227">
        <v>214</v>
      </c>
      <c r="AC227" t="str">
        <f>_xlfn.IFNA(_xlfn.IFS(AB227&gt;Dash!$F$46, "Big", AB227&lt;Dash!$F$49, "Small", AB227&gt;Dash!$F$47, "Good"), "Norm")</f>
        <v>Big</v>
      </c>
      <c r="AD227">
        <v>396.75</v>
      </c>
      <c r="AE227" t="str">
        <f>_xlfn.IFNA(_xlfn.IFS(AD227&gt;Dash!$G$46, "Big", AD227&lt;Dash!$G$49, "Small", AD227&gt;Dash!$G$47, "Good"), "Norm")</f>
        <v>Big</v>
      </c>
      <c r="AF227">
        <v>408.5</v>
      </c>
      <c r="AG227" t="str">
        <f>_xlfn.IFNA(_xlfn.IFS(AF227&gt;Dash!$H$46, "Big", AF227&lt;Dash!$H$49, "Small", AF227&gt;Dash!$H$47, "Good"), "Norm")</f>
        <v>Big</v>
      </c>
      <c r="AH227">
        <v>65.75</v>
      </c>
      <c r="AI227" t="str">
        <f>_xlfn.IFNA(_xlfn.IFS(AH227&gt;Dash!$I$46, "Big", AH227&lt;Dash!$I$49, "Small", AH227&gt;Dash!$I$47, "Good"), "Norm")</f>
        <v>Good</v>
      </c>
    </row>
    <row r="228" spans="1:35" x14ac:dyDescent="0.25">
      <c r="A228" s="1">
        <v>45499</v>
      </c>
      <c r="B228" t="s">
        <v>26</v>
      </c>
      <c r="C228" t="s">
        <v>13</v>
      </c>
      <c r="D228">
        <v>1</v>
      </c>
      <c r="E228">
        <v>257.5</v>
      </c>
      <c r="J228" t="s">
        <v>34</v>
      </c>
      <c r="K228" t="s">
        <v>31</v>
      </c>
      <c r="L228" t="s">
        <v>32</v>
      </c>
      <c r="M228" t="s">
        <v>18</v>
      </c>
      <c r="N228">
        <v>5</v>
      </c>
      <c r="R228" t="s">
        <v>33</v>
      </c>
      <c r="S228" t="s">
        <v>43</v>
      </c>
      <c r="T228">
        <v>264</v>
      </c>
      <c r="U228" t="str">
        <f>_xlfn.IFNA(_xlfn.IFS(E228&gt;Dash!$D$46, "Big", E228&lt;Dash!$D$49, "Small", E228&gt;Dash!$D$47, "Good"), "Norm")</f>
        <v>Good</v>
      </c>
      <c r="V228" t="s">
        <v>33</v>
      </c>
      <c r="W228">
        <v>507.25</v>
      </c>
      <c r="X228" t="s">
        <v>14</v>
      </c>
      <c r="Y228" s="1">
        <v>45499</v>
      </c>
      <c r="Z228">
        <v>120.75</v>
      </c>
      <c r="AA228" t="str">
        <f>_xlfn.IFNA(_xlfn.IFS(Z228&gt;Dash!$E$46, "Big", Z228&lt;Dash!$E$49, "Small", Z228&gt;Dash!$E$47, "Good"), "Norm")</f>
        <v>Good</v>
      </c>
      <c r="AB228">
        <v>157.5</v>
      </c>
      <c r="AC228" t="str">
        <f>_xlfn.IFNA(_xlfn.IFS(AB228&gt;Dash!$F$46, "Big", AB228&lt;Dash!$F$49, "Small", AB228&gt;Dash!$F$47, "Good"), "Norm")</f>
        <v>Big</v>
      </c>
      <c r="AD228">
        <v>196.25</v>
      </c>
      <c r="AE228" t="str">
        <f>_xlfn.IFNA(_xlfn.IFS(AD228&gt;Dash!$G$46, "Big", AD228&lt;Dash!$G$49, "Small", AD228&gt;Dash!$G$47, "Good"), "Norm")</f>
        <v>Norm</v>
      </c>
      <c r="AF228">
        <v>193.75</v>
      </c>
      <c r="AG228" t="str">
        <f>_xlfn.IFNA(_xlfn.IFS(AF228&gt;Dash!$H$46, "Big", AF228&lt;Dash!$H$49, "Small", AF228&gt;Dash!$H$47, "Good"), "Norm")</f>
        <v>Good</v>
      </c>
      <c r="AH228">
        <v>23.5</v>
      </c>
      <c r="AI228" t="str">
        <f>_xlfn.IFNA(_xlfn.IFS(AH228&gt;Dash!$I$46, "Big", AH228&lt;Dash!$I$49, "Small", AH228&gt;Dash!$I$47, "Good"), "Norm")</f>
        <v>Norm</v>
      </c>
    </row>
    <row r="229" spans="1:35" x14ac:dyDescent="0.25">
      <c r="A229" s="1">
        <v>45502</v>
      </c>
      <c r="B229" t="s">
        <v>23</v>
      </c>
      <c r="C229" t="s">
        <v>33</v>
      </c>
      <c r="D229" t="s">
        <v>43</v>
      </c>
      <c r="E229">
        <v>264</v>
      </c>
      <c r="F229">
        <v>2000</v>
      </c>
      <c r="G229">
        <v>2100</v>
      </c>
      <c r="J229" t="s">
        <v>29</v>
      </c>
      <c r="K229" t="s">
        <v>35</v>
      </c>
      <c r="L229" t="s">
        <v>25</v>
      </c>
      <c r="M229" t="s">
        <v>19</v>
      </c>
      <c r="N229">
        <v>13</v>
      </c>
      <c r="R229" t="s">
        <v>33</v>
      </c>
      <c r="S229" t="s">
        <v>14</v>
      </c>
      <c r="T229">
        <v>516.75</v>
      </c>
      <c r="U229" t="str">
        <f>_xlfn.IFNA(_xlfn.IFS(E229&gt;Dash!$D$46, "Big", E229&lt;Dash!$D$49, "Small", E229&gt;Dash!$D$47, "Good"), "Norm")</f>
        <v>Good</v>
      </c>
      <c r="V229" t="s">
        <v>13</v>
      </c>
      <c r="W229">
        <v>257.5</v>
      </c>
      <c r="X229">
        <v>1</v>
      </c>
      <c r="Y229" s="1">
        <v>45502</v>
      </c>
      <c r="Z229">
        <v>162.25</v>
      </c>
      <c r="AA229" t="str">
        <f>_xlfn.IFNA(_xlfn.IFS(Z229&gt;Dash!$E$46, "Big", Z229&lt;Dash!$E$49, "Small", Z229&gt;Dash!$E$47, "Good"), "Norm")</f>
        <v>Big</v>
      </c>
      <c r="AB229">
        <v>115</v>
      </c>
      <c r="AC229" t="str">
        <f>_xlfn.IFNA(_xlfn.IFS(AB229&gt;Dash!$F$46, "Big", AB229&lt;Dash!$F$49, "Small", AB229&gt;Dash!$F$47, "Good"), "Norm")</f>
        <v>Good</v>
      </c>
      <c r="AD229">
        <v>264</v>
      </c>
      <c r="AE229" t="str">
        <f>_xlfn.IFNA(_xlfn.IFS(AD229&gt;Dash!$G$46, "Big", AD229&lt;Dash!$G$49, "Small", AD229&gt;Dash!$G$47, "Good"), "Norm")</f>
        <v>Good</v>
      </c>
      <c r="AF229">
        <v>162.75</v>
      </c>
      <c r="AG229" t="str">
        <f>_xlfn.IFNA(_xlfn.IFS(AF229&gt;Dash!$H$46, "Big", AF229&lt;Dash!$H$49, "Small", AF229&gt;Dash!$H$47, "Good"), "Norm")</f>
        <v>Good</v>
      </c>
      <c r="AH229">
        <v>34</v>
      </c>
      <c r="AI229" t="str">
        <f>_xlfn.IFNA(_xlfn.IFS(AH229&gt;Dash!$I$46, "Big", AH229&lt;Dash!$I$49, "Small", AH229&gt;Dash!$I$47, "Good"), "Norm")</f>
        <v>Norm</v>
      </c>
    </row>
    <row r="230" spans="1:35" x14ac:dyDescent="0.25">
      <c r="A230" s="1">
        <v>45503</v>
      </c>
      <c r="B230" t="s">
        <v>19</v>
      </c>
      <c r="C230" t="s">
        <v>33</v>
      </c>
      <c r="D230" t="s">
        <v>14</v>
      </c>
      <c r="E230">
        <v>516.75</v>
      </c>
      <c r="F230">
        <v>2100</v>
      </c>
      <c r="G230">
        <v>2300</v>
      </c>
      <c r="J230" t="s">
        <v>37</v>
      </c>
      <c r="K230" t="s">
        <v>35</v>
      </c>
      <c r="L230" t="s">
        <v>17</v>
      </c>
      <c r="M230" t="s">
        <v>19</v>
      </c>
      <c r="N230">
        <v>13</v>
      </c>
      <c r="O230" t="s">
        <v>72</v>
      </c>
      <c r="R230" t="s">
        <v>13</v>
      </c>
      <c r="S230" t="s">
        <v>28</v>
      </c>
      <c r="T230">
        <v>327.5</v>
      </c>
      <c r="U230" t="str">
        <f>_xlfn.IFNA(_xlfn.IFS(E230&gt;Dash!$D$46, "Big", E230&lt;Dash!$D$49, "Small", E230&gt;Dash!$D$47, "Good"), "Norm")</f>
        <v>Big</v>
      </c>
      <c r="V230" t="s">
        <v>33</v>
      </c>
      <c r="W230">
        <v>264</v>
      </c>
      <c r="X230" t="s">
        <v>43</v>
      </c>
      <c r="Y230" s="1">
        <v>45503</v>
      </c>
      <c r="Z230">
        <v>161.5</v>
      </c>
      <c r="AA230" t="str">
        <f>_xlfn.IFNA(_xlfn.IFS(Z230&gt;Dash!$E$46, "Big", Z230&lt;Dash!$E$49, "Small", Z230&gt;Dash!$E$47, "Good"), "Norm")</f>
        <v>Big</v>
      </c>
      <c r="AB230">
        <v>95</v>
      </c>
      <c r="AC230" t="str">
        <f>_xlfn.IFNA(_xlfn.IFS(AB230&gt;Dash!$F$46, "Big", AB230&lt;Dash!$F$49, "Small", AB230&gt;Dash!$F$47, "Good"), "Norm")</f>
        <v>Norm</v>
      </c>
      <c r="AD230">
        <v>393.75</v>
      </c>
      <c r="AE230" t="str">
        <f>_xlfn.IFNA(_xlfn.IFS(AD230&gt;Dash!$G$46, "Big", AD230&lt;Dash!$G$49, "Small", AD230&gt;Dash!$G$47, "Good"), "Norm")</f>
        <v>Big</v>
      </c>
      <c r="AF230">
        <v>213.25</v>
      </c>
      <c r="AG230" t="str">
        <f>_xlfn.IFNA(_xlfn.IFS(AF230&gt;Dash!$H$46, "Big", AF230&lt;Dash!$H$49, "Small", AF230&gt;Dash!$H$47, "Good"), "Norm")</f>
        <v>Good</v>
      </c>
      <c r="AH230">
        <v>229.25</v>
      </c>
      <c r="AI230" t="str">
        <f>_xlfn.IFNA(_xlfn.IFS(AH230&gt;Dash!$I$46, "Big", AH230&lt;Dash!$I$49, "Small", AH230&gt;Dash!$I$47, "Good"), "Norm")</f>
        <v>Big</v>
      </c>
    </row>
    <row r="231" spans="1:35" x14ac:dyDescent="0.25">
      <c r="A231" s="1">
        <v>45504</v>
      </c>
      <c r="B231" t="s">
        <v>18</v>
      </c>
      <c r="C231" t="s">
        <v>13</v>
      </c>
      <c r="D231" t="s">
        <v>28</v>
      </c>
      <c r="E231">
        <v>327.5</v>
      </c>
      <c r="F231">
        <v>800</v>
      </c>
      <c r="J231" t="s">
        <v>27</v>
      </c>
      <c r="K231" t="s">
        <v>31</v>
      </c>
      <c r="L231" t="s">
        <v>44</v>
      </c>
      <c r="M231" t="s">
        <v>19</v>
      </c>
      <c r="N231">
        <v>13</v>
      </c>
      <c r="O231" t="s">
        <v>68</v>
      </c>
      <c r="R231" t="s">
        <v>13</v>
      </c>
      <c r="S231" t="s">
        <v>48</v>
      </c>
      <c r="T231">
        <v>813.75</v>
      </c>
      <c r="U231" t="str">
        <f>_xlfn.IFNA(_xlfn.IFS(E231&gt;Dash!$D$46, "Big", E231&lt;Dash!$D$49, "Small", E231&gt;Dash!$D$47, "Good"), "Norm")</f>
        <v>Good</v>
      </c>
      <c r="V231" t="s">
        <v>33</v>
      </c>
      <c r="W231">
        <v>516.75</v>
      </c>
      <c r="X231" t="s">
        <v>14</v>
      </c>
      <c r="Y231" s="1">
        <v>45504</v>
      </c>
      <c r="Z231">
        <v>363.5</v>
      </c>
      <c r="AA231" t="str">
        <f>_xlfn.IFNA(_xlfn.IFS(Z231&gt;Dash!$E$46, "Big", Z231&lt;Dash!$E$49, "Small", Z231&gt;Dash!$E$47, "Good"), "Norm")</f>
        <v>Big</v>
      </c>
      <c r="AB231">
        <v>93.75</v>
      </c>
      <c r="AC231" t="str">
        <f>_xlfn.IFNA(_xlfn.IFS(AB231&gt;Dash!$F$46, "Big", AB231&lt;Dash!$F$49, "Small", AB231&gt;Dash!$F$47, "Good"), "Norm")</f>
        <v>Norm</v>
      </c>
      <c r="AD231">
        <v>270.25</v>
      </c>
      <c r="AE231" t="str">
        <f>_xlfn.IFNA(_xlfn.IFS(AD231&gt;Dash!$G$46, "Big", AD231&lt;Dash!$G$49, "Small", AD231&gt;Dash!$G$47, "Good"), "Norm")</f>
        <v>Good</v>
      </c>
      <c r="AF231">
        <v>228.5</v>
      </c>
      <c r="AG231" t="str">
        <f>_xlfn.IFNA(_xlfn.IFS(AF231&gt;Dash!$H$46, "Big", AF231&lt;Dash!$H$49, "Small", AF231&gt;Dash!$H$47, "Good"), "Norm")</f>
        <v>Good</v>
      </c>
      <c r="AH231">
        <v>159</v>
      </c>
      <c r="AI231" t="str">
        <f>_xlfn.IFNA(_xlfn.IFS(AH231&gt;Dash!$I$46, "Big", AH231&lt;Dash!$I$49, "Small", AH231&gt;Dash!$I$47, "Good"), "Norm")</f>
        <v>Big</v>
      </c>
    </row>
    <row r="232" spans="1:35" x14ac:dyDescent="0.25">
      <c r="A232" s="1">
        <v>45505</v>
      </c>
      <c r="B232" t="s">
        <v>36</v>
      </c>
      <c r="C232" t="s">
        <v>13</v>
      </c>
      <c r="D232" t="s">
        <v>48</v>
      </c>
      <c r="E232">
        <v>813.75</v>
      </c>
      <c r="F232">
        <v>1900</v>
      </c>
      <c r="G232">
        <v>2000</v>
      </c>
      <c r="J232" t="s">
        <v>29</v>
      </c>
      <c r="K232" t="s">
        <v>16</v>
      </c>
      <c r="L232" t="s">
        <v>42</v>
      </c>
      <c r="M232" t="s">
        <v>19</v>
      </c>
      <c r="N232">
        <v>13</v>
      </c>
      <c r="O232" t="s">
        <v>73</v>
      </c>
      <c r="R232" t="s">
        <v>24</v>
      </c>
      <c r="S232" t="s">
        <v>14</v>
      </c>
      <c r="T232">
        <v>375.75</v>
      </c>
      <c r="U232" t="str">
        <f>_xlfn.IFNA(_xlfn.IFS(E232&gt;Dash!$D$46, "Big", E232&lt;Dash!$D$49, "Small", E232&gt;Dash!$D$47, "Good"), "Norm")</f>
        <v>Big</v>
      </c>
      <c r="V232" t="s">
        <v>13</v>
      </c>
      <c r="W232">
        <v>327.5</v>
      </c>
      <c r="X232" t="s">
        <v>28</v>
      </c>
      <c r="Y232" s="1">
        <v>45505</v>
      </c>
      <c r="Z232">
        <v>134.75</v>
      </c>
      <c r="AA232" t="str">
        <f>_xlfn.IFNA(_xlfn.IFS(Z232&gt;Dash!$E$46, "Big", Z232&lt;Dash!$E$49, "Small", Z232&gt;Dash!$E$47, "Good"), "Norm")</f>
        <v>Good</v>
      </c>
      <c r="AB232">
        <v>188</v>
      </c>
      <c r="AC232" t="str">
        <f>_xlfn.IFNA(_xlfn.IFS(AB232&gt;Dash!$F$46, "Big", AB232&lt;Dash!$F$49, "Small", AB232&gt;Dash!$F$47, "Good"), "Norm")</f>
        <v>Big</v>
      </c>
      <c r="AD232">
        <v>535.75</v>
      </c>
      <c r="AE232" t="str">
        <f>_xlfn.IFNA(_xlfn.IFS(AD232&gt;Dash!$G$46, "Big", AD232&lt;Dash!$G$49, "Small", AD232&gt;Dash!$G$47, "Good"), "Norm")</f>
        <v>Big</v>
      </c>
      <c r="AF232">
        <v>368</v>
      </c>
      <c r="AG232" t="str">
        <f>_xlfn.IFNA(_xlfn.IFS(AF232&gt;Dash!$H$46, "Big", AF232&lt;Dash!$H$49, "Small", AF232&gt;Dash!$H$47, "Good"), "Norm")</f>
        <v>Big</v>
      </c>
      <c r="AH232">
        <v>196</v>
      </c>
      <c r="AI232" t="str">
        <f>_xlfn.IFNA(_xlfn.IFS(AH232&gt;Dash!$I$46, "Big", AH232&lt;Dash!$I$49, "Small", AH232&gt;Dash!$I$47, "Good"), "Norm")</f>
        <v>Big</v>
      </c>
    </row>
    <row r="233" spans="1:35" x14ac:dyDescent="0.25">
      <c r="A233" s="1">
        <v>45506</v>
      </c>
      <c r="B233" t="s">
        <v>26</v>
      </c>
      <c r="C233" t="s">
        <v>24</v>
      </c>
      <c r="D233" t="s">
        <v>14</v>
      </c>
      <c r="E233">
        <v>375.75</v>
      </c>
      <c r="F233">
        <v>1800</v>
      </c>
      <c r="G233">
        <v>1800</v>
      </c>
      <c r="J233" t="s">
        <v>37</v>
      </c>
      <c r="K233" t="s">
        <v>16</v>
      </c>
      <c r="L233" t="s">
        <v>25</v>
      </c>
      <c r="M233" t="s">
        <v>19</v>
      </c>
      <c r="N233">
        <v>13</v>
      </c>
      <c r="R233">
        <v>0</v>
      </c>
      <c r="S233" t="s">
        <v>47</v>
      </c>
      <c r="T233">
        <v>926.5</v>
      </c>
      <c r="U233" t="str">
        <f>_xlfn.IFNA(_xlfn.IFS(E233&gt;Dash!$D$46, "Big", E233&lt;Dash!$D$49, "Small", E233&gt;Dash!$D$47, "Good"), "Norm")</f>
        <v>Good</v>
      </c>
      <c r="V233" t="s">
        <v>13</v>
      </c>
      <c r="W233">
        <v>813.75</v>
      </c>
      <c r="X233" t="s">
        <v>48</v>
      </c>
      <c r="Y233" s="1">
        <v>45506</v>
      </c>
      <c r="Z233">
        <v>293.75</v>
      </c>
      <c r="AA233" t="str">
        <f>_xlfn.IFNA(_xlfn.IFS(Z233&gt;Dash!$E$46, "Big", Z233&lt;Dash!$E$49, "Small", Z233&gt;Dash!$E$47, "Good"), "Norm")</f>
        <v>Big</v>
      </c>
      <c r="AB233">
        <v>141.75</v>
      </c>
      <c r="AC233" t="str">
        <f>_xlfn.IFNA(_xlfn.IFS(AB233&gt;Dash!$F$46, "Big", AB233&lt;Dash!$F$49, "Small", AB233&gt;Dash!$F$47, "Good"), "Norm")</f>
        <v>Good</v>
      </c>
      <c r="AD233">
        <v>375.75</v>
      </c>
      <c r="AE233" t="str">
        <f>_xlfn.IFNA(_xlfn.IFS(AD233&gt;Dash!$G$46, "Big", AD233&lt;Dash!$G$49, "Small", AD233&gt;Dash!$G$47, "Good"), "Norm")</f>
        <v>Big</v>
      </c>
      <c r="AF233">
        <v>188</v>
      </c>
      <c r="AG233" t="str">
        <f>_xlfn.IFNA(_xlfn.IFS(AF233&gt;Dash!$H$46, "Big", AF233&lt;Dash!$H$49, "Small", AF233&gt;Dash!$H$47, "Good"), "Norm")</f>
        <v>Good</v>
      </c>
      <c r="AH233">
        <v>65</v>
      </c>
      <c r="AI233" t="str">
        <f>_xlfn.IFNA(_xlfn.IFS(AH233&gt;Dash!$I$46, "Big", AH233&lt;Dash!$I$49, "Small", AH233&gt;Dash!$I$47, "Good"), "Norm")</f>
        <v>Good</v>
      </c>
    </row>
    <row r="234" spans="1:35" x14ac:dyDescent="0.25">
      <c r="A234" s="1">
        <v>45509</v>
      </c>
      <c r="B234" t="s">
        <v>23</v>
      </c>
      <c r="D234" t="s">
        <v>47</v>
      </c>
      <c r="E234">
        <v>926.5</v>
      </c>
      <c r="F234">
        <v>1800</v>
      </c>
      <c r="J234" t="s">
        <v>37</v>
      </c>
      <c r="K234" t="s">
        <v>16</v>
      </c>
      <c r="L234" t="s">
        <v>31</v>
      </c>
      <c r="M234" t="s">
        <v>23</v>
      </c>
      <c r="N234">
        <v>2</v>
      </c>
      <c r="R234" t="s">
        <v>33</v>
      </c>
      <c r="S234" t="s">
        <v>43</v>
      </c>
      <c r="T234">
        <v>517.25</v>
      </c>
      <c r="U234" t="str">
        <f>_xlfn.IFNA(_xlfn.IFS(E234&gt;Dash!$D$46, "Big", E234&lt;Dash!$D$49, "Small", E234&gt;Dash!$D$47, "Good"), "Norm")</f>
        <v>Big</v>
      </c>
      <c r="V234" t="s">
        <v>24</v>
      </c>
      <c r="W234">
        <v>375.75</v>
      </c>
      <c r="X234" t="s">
        <v>14</v>
      </c>
      <c r="Y234" s="1">
        <v>45509</v>
      </c>
      <c r="Z234">
        <v>1039</v>
      </c>
      <c r="AA234" t="str">
        <f>_xlfn.IFNA(_xlfn.IFS(Z234&gt;Dash!$E$46, "Big", Z234&lt;Dash!$E$49, "Small", Z234&gt;Dash!$E$47, "Good"), "Norm")</f>
        <v>Big</v>
      </c>
      <c r="AB234">
        <v>528.75</v>
      </c>
      <c r="AC234" t="str">
        <f>_xlfn.IFNA(_xlfn.IFS(AB234&gt;Dash!$F$46, "Big", AB234&lt;Dash!$F$49, "Small", AB234&gt;Dash!$F$47, "Good"), "Norm")</f>
        <v>Big</v>
      </c>
      <c r="AD234">
        <v>826.75</v>
      </c>
      <c r="AE234" t="str">
        <f>_xlfn.IFNA(_xlfn.IFS(AD234&gt;Dash!$G$46, "Big", AD234&lt;Dash!$G$49, "Small", AD234&gt;Dash!$G$47, "Good"), "Norm")</f>
        <v>Big</v>
      </c>
      <c r="AF234">
        <v>396.75</v>
      </c>
      <c r="AG234" t="str">
        <f>_xlfn.IFNA(_xlfn.IFS(AF234&gt;Dash!$H$46, "Big", AF234&lt;Dash!$H$49, "Small", AF234&gt;Dash!$H$47, "Good"), "Norm")</f>
        <v>Big</v>
      </c>
      <c r="AH234">
        <v>171.75</v>
      </c>
      <c r="AI234" t="str">
        <f>_xlfn.IFNA(_xlfn.IFS(AH234&gt;Dash!$I$46, "Big", AH234&lt;Dash!$I$49, "Small", AH234&gt;Dash!$I$47, "Good"), "Norm")</f>
        <v>Big</v>
      </c>
    </row>
    <row r="235" spans="1:35" x14ac:dyDescent="0.25">
      <c r="A235" s="1">
        <v>45510</v>
      </c>
      <c r="B235" t="s">
        <v>19</v>
      </c>
      <c r="C235" t="s">
        <v>33</v>
      </c>
      <c r="D235" t="s">
        <v>43</v>
      </c>
      <c r="E235">
        <v>517.25</v>
      </c>
      <c r="F235">
        <v>2100</v>
      </c>
      <c r="G235">
        <v>2100</v>
      </c>
      <c r="J235" t="s">
        <v>29</v>
      </c>
      <c r="K235" t="s">
        <v>25</v>
      </c>
      <c r="L235" t="s">
        <v>32</v>
      </c>
      <c r="M235" t="s">
        <v>23</v>
      </c>
      <c r="N235">
        <v>2</v>
      </c>
      <c r="R235" t="s">
        <v>33</v>
      </c>
      <c r="S235" t="s">
        <v>48</v>
      </c>
      <c r="T235">
        <v>606.75</v>
      </c>
      <c r="U235" t="str">
        <f>_xlfn.IFNA(_xlfn.IFS(E235&gt;Dash!$D$46, "Big", E235&lt;Dash!$D$49, "Small", E235&gt;Dash!$D$47, "Good"), "Norm")</f>
        <v>Big</v>
      </c>
      <c r="V235">
        <v>0</v>
      </c>
      <c r="W235">
        <v>926.5</v>
      </c>
      <c r="X235" t="s">
        <v>47</v>
      </c>
      <c r="Y235" s="1">
        <v>45510</v>
      </c>
      <c r="Z235">
        <v>275</v>
      </c>
      <c r="AA235" t="str">
        <f>_xlfn.IFNA(_xlfn.IFS(Z235&gt;Dash!$E$46, "Big", Z235&lt;Dash!$E$49, "Small", Z235&gt;Dash!$E$47, "Good"), "Norm")</f>
        <v>Big</v>
      </c>
      <c r="AB235">
        <v>349.75</v>
      </c>
      <c r="AC235" t="str">
        <f>_xlfn.IFNA(_xlfn.IFS(AB235&gt;Dash!$F$46, "Big", AB235&lt;Dash!$F$49, "Small", AB235&gt;Dash!$F$47, "Good"), "Norm")</f>
        <v>Big</v>
      </c>
      <c r="AD235">
        <v>383.75</v>
      </c>
      <c r="AE235" t="str">
        <f>_xlfn.IFNA(_xlfn.IFS(AD235&gt;Dash!$G$46, "Big", AD235&lt;Dash!$G$49, "Small", AD235&gt;Dash!$G$47, "Good"), "Norm")</f>
        <v>Big</v>
      </c>
      <c r="AF235">
        <v>318.5</v>
      </c>
      <c r="AG235" t="str">
        <f>_xlfn.IFNA(_xlfn.IFS(AF235&gt;Dash!$H$46, "Big", AF235&lt;Dash!$H$49, "Small", AF235&gt;Dash!$H$47, "Good"), "Norm")</f>
        <v>Big</v>
      </c>
      <c r="AH235">
        <v>204</v>
      </c>
      <c r="AI235" t="str">
        <f>_xlfn.IFNA(_xlfn.IFS(AH235&gt;Dash!$I$46, "Big", AH235&lt;Dash!$I$49, "Small", AH235&gt;Dash!$I$47, "Good"), "Norm")</f>
        <v>Big</v>
      </c>
    </row>
    <row r="236" spans="1:35" x14ac:dyDescent="0.25">
      <c r="A236" s="1">
        <v>45511</v>
      </c>
      <c r="B236" t="s">
        <v>18</v>
      </c>
      <c r="C236" t="s">
        <v>33</v>
      </c>
      <c r="D236" t="s">
        <v>48</v>
      </c>
      <c r="E236">
        <v>606.75</v>
      </c>
      <c r="F236">
        <v>900</v>
      </c>
      <c r="G236">
        <v>1100</v>
      </c>
      <c r="J236" t="s">
        <v>27</v>
      </c>
      <c r="K236" t="s">
        <v>35</v>
      </c>
      <c r="L236" t="s">
        <v>42</v>
      </c>
      <c r="M236" t="s">
        <v>23</v>
      </c>
      <c r="N236">
        <v>2</v>
      </c>
      <c r="R236" t="s">
        <v>13</v>
      </c>
      <c r="S236" t="s">
        <v>38</v>
      </c>
      <c r="T236">
        <v>597.25</v>
      </c>
      <c r="U236" t="str">
        <f>_xlfn.IFNA(_xlfn.IFS(E236&gt;Dash!$D$46, "Big", E236&lt;Dash!$D$49, "Small", E236&gt;Dash!$D$47, "Good"), "Norm")</f>
        <v>Big</v>
      </c>
      <c r="V236" t="s">
        <v>33</v>
      </c>
      <c r="W236">
        <v>517.25</v>
      </c>
      <c r="X236" t="s">
        <v>43</v>
      </c>
      <c r="Y236" s="1">
        <v>45511</v>
      </c>
      <c r="Z236">
        <v>408.5</v>
      </c>
      <c r="AA236" t="str">
        <f>_xlfn.IFNA(_xlfn.IFS(Z236&gt;Dash!$E$46, "Big", Z236&lt;Dash!$E$49, "Small", Z236&gt;Dash!$E$47, "Good"), "Norm")</f>
        <v>Big</v>
      </c>
      <c r="AB236">
        <v>241.75</v>
      </c>
      <c r="AC236" t="str">
        <f>_xlfn.IFNA(_xlfn.IFS(AB236&gt;Dash!$F$46, "Big", AB236&lt;Dash!$F$49, "Small", AB236&gt;Dash!$F$47, "Good"), "Norm")</f>
        <v>Big</v>
      </c>
      <c r="AD236">
        <v>217.25</v>
      </c>
      <c r="AE236" t="str">
        <f>_xlfn.IFNA(_xlfn.IFS(AD236&gt;Dash!$G$46, "Big", AD236&lt;Dash!$G$49, "Small", AD236&gt;Dash!$G$47, "Good"), "Norm")</f>
        <v>Good</v>
      </c>
      <c r="AF236">
        <v>453</v>
      </c>
      <c r="AG236" t="str">
        <f>_xlfn.IFNA(_xlfn.IFS(AF236&gt;Dash!$H$46, "Big", AF236&lt;Dash!$H$49, "Small", AF236&gt;Dash!$H$47, "Good"), "Norm")</f>
        <v>Big</v>
      </c>
      <c r="AH236">
        <v>163.75</v>
      </c>
      <c r="AI236" t="str">
        <f>_xlfn.IFNA(_xlfn.IFS(AH236&gt;Dash!$I$46, "Big", AH236&lt;Dash!$I$49, "Small", AH236&gt;Dash!$I$47, "Good"), "Norm")</f>
        <v>Big</v>
      </c>
    </row>
    <row r="237" spans="1:35" x14ac:dyDescent="0.25">
      <c r="A237" s="1">
        <v>45512</v>
      </c>
      <c r="B237" t="s">
        <v>36</v>
      </c>
      <c r="C237" t="s">
        <v>13</v>
      </c>
      <c r="D237" t="s">
        <v>38</v>
      </c>
      <c r="E237">
        <v>597.25</v>
      </c>
      <c r="F237">
        <v>1900</v>
      </c>
      <c r="G237">
        <v>1900</v>
      </c>
      <c r="H237">
        <v>1400</v>
      </c>
      <c r="I237">
        <v>1400</v>
      </c>
      <c r="J237" t="s">
        <v>37</v>
      </c>
      <c r="K237" t="s">
        <v>31</v>
      </c>
      <c r="L237" t="s">
        <v>44</v>
      </c>
      <c r="M237" t="s">
        <v>23</v>
      </c>
      <c r="N237">
        <v>2</v>
      </c>
      <c r="R237" t="s">
        <v>33</v>
      </c>
      <c r="S237" t="s">
        <v>28</v>
      </c>
      <c r="T237">
        <v>291.5</v>
      </c>
      <c r="U237" t="str">
        <f>_xlfn.IFNA(_xlfn.IFS(E237&gt;Dash!$D$46, "Big", E237&lt;Dash!$D$49, "Small", E237&gt;Dash!$D$47, "Good"), "Norm")</f>
        <v>Big</v>
      </c>
      <c r="V237" t="s">
        <v>33</v>
      </c>
      <c r="W237">
        <v>606.75</v>
      </c>
      <c r="X237" t="s">
        <v>48</v>
      </c>
      <c r="Y237" s="1">
        <v>45512</v>
      </c>
      <c r="Z237">
        <v>337.5</v>
      </c>
      <c r="AA237" t="str">
        <f>_xlfn.IFNA(_xlfn.IFS(Z237&gt;Dash!$E$46, "Big", Z237&lt;Dash!$E$49, "Small", Z237&gt;Dash!$E$47, "Good"), "Norm")</f>
        <v>Big</v>
      </c>
      <c r="AB237">
        <v>175.75</v>
      </c>
      <c r="AC237" t="str">
        <f>_xlfn.IFNA(_xlfn.IFS(AB237&gt;Dash!$F$46, "Big", AB237&lt;Dash!$F$49, "Small", AB237&gt;Dash!$F$47, "Good"), "Norm")</f>
        <v>Big</v>
      </c>
      <c r="AD237">
        <v>480</v>
      </c>
      <c r="AE237" t="str">
        <f>_xlfn.IFNA(_xlfn.IFS(AD237&gt;Dash!$G$46, "Big", AD237&lt;Dash!$G$49, "Small", AD237&gt;Dash!$G$47, "Good"), "Norm")</f>
        <v>Big</v>
      </c>
      <c r="AF237">
        <v>197.25</v>
      </c>
      <c r="AG237" t="str">
        <f>_xlfn.IFNA(_xlfn.IFS(AF237&gt;Dash!$H$46, "Big", AF237&lt;Dash!$H$49, "Small", AF237&gt;Dash!$H$47, "Good"), "Norm")</f>
        <v>Good</v>
      </c>
      <c r="AH237">
        <v>81.75</v>
      </c>
      <c r="AI237" t="str">
        <f>_xlfn.IFNA(_xlfn.IFS(AH237&gt;Dash!$I$46, "Big", AH237&lt;Dash!$I$49, "Small", AH237&gt;Dash!$I$47, "Good"), "Norm")</f>
        <v>Good</v>
      </c>
    </row>
    <row r="238" spans="1:35" x14ac:dyDescent="0.25">
      <c r="A238" s="1">
        <v>45513</v>
      </c>
      <c r="B238" t="s">
        <v>26</v>
      </c>
      <c r="C238" t="s">
        <v>33</v>
      </c>
      <c r="D238" t="s">
        <v>28</v>
      </c>
      <c r="E238">
        <v>291.5</v>
      </c>
      <c r="F238">
        <v>1900</v>
      </c>
      <c r="G238">
        <v>2000</v>
      </c>
      <c r="J238" t="s">
        <v>29</v>
      </c>
      <c r="K238" t="s">
        <v>25</v>
      </c>
      <c r="L238" t="s">
        <v>32</v>
      </c>
      <c r="M238" t="s">
        <v>23</v>
      </c>
      <c r="N238">
        <v>2</v>
      </c>
      <c r="R238" t="s">
        <v>24</v>
      </c>
      <c r="S238" t="s">
        <v>28</v>
      </c>
      <c r="T238">
        <v>241.75</v>
      </c>
      <c r="U238" t="str">
        <f>_xlfn.IFNA(_xlfn.IFS(E238&gt;Dash!$D$46, "Big", E238&lt;Dash!$D$49, "Small", E238&gt;Dash!$D$47, "Good"), "Norm")</f>
        <v>Good</v>
      </c>
      <c r="V238" t="s">
        <v>13</v>
      </c>
      <c r="W238">
        <v>597.25</v>
      </c>
      <c r="X238" t="s">
        <v>38</v>
      </c>
      <c r="Y238" s="1">
        <v>45513</v>
      </c>
      <c r="Z238">
        <v>186.75</v>
      </c>
      <c r="AA238" t="str">
        <f>_xlfn.IFNA(_xlfn.IFS(Z238&gt;Dash!$E$46, "Big", Z238&lt;Dash!$E$49, "Small", Z238&gt;Dash!$E$47, "Good"), "Norm")</f>
        <v>Big</v>
      </c>
      <c r="AB238">
        <v>162.75</v>
      </c>
      <c r="AC238" t="str">
        <f>_xlfn.IFNA(_xlfn.IFS(AB238&gt;Dash!$F$46, "Big", AB238&lt;Dash!$F$49, "Small", AB238&gt;Dash!$F$47, "Good"), "Norm")</f>
        <v>Big</v>
      </c>
      <c r="AD238">
        <v>195.75</v>
      </c>
      <c r="AE238" t="str">
        <f>_xlfn.IFNA(_xlfn.IFS(AD238&gt;Dash!$G$46, "Big", AD238&lt;Dash!$G$49, "Small", AD238&gt;Dash!$G$47, "Good"), "Norm")</f>
        <v>Norm</v>
      </c>
      <c r="AF238">
        <v>219</v>
      </c>
      <c r="AG238" t="str">
        <f>_xlfn.IFNA(_xlfn.IFS(AF238&gt;Dash!$H$46, "Big", AF238&lt;Dash!$H$49, "Small", AF238&gt;Dash!$H$47, "Good"), "Norm")</f>
        <v>Good</v>
      </c>
      <c r="AH238">
        <v>31.25</v>
      </c>
      <c r="AI238" t="str">
        <f>_xlfn.IFNA(_xlfn.IFS(AH238&gt;Dash!$I$46, "Big", AH238&lt;Dash!$I$49, "Small", AH238&gt;Dash!$I$47, "Good"), "Norm")</f>
        <v>Norm</v>
      </c>
    </row>
    <row r="239" spans="1:35" x14ac:dyDescent="0.25">
      <c r="A239" s="1">
        <v>45516</v>
      </c>
      <c r="B239" t="s">
        <v>23</v>
      </c>
      <c r="C239" t="s">
        <v>24</v>
      </c>
      <c r="D239" t="s">
        <v>28</v>
      </c>
      <c r="E239">
        <v>241.75</v>
      </c>
      <c r="F239">
        <v>300</v>
      </c>
      <c r="G239">
        <v>400</v>
      </c>
      <c r="J239" t="s">
        <v>30</v>
      </c>
      <c r="K239" t="s">
        <v>31</v>
      </c>
      <c r="L239" t="s">
        <v>35</v>
      </c>
      <c r="M239" t="s">
        <v>19</v>
      </c>
      <c r="N239">
        <v>8</v>
      </c>
      <c r="R239" t="s">
        <v>13</v>
      </c>
      <c r="S239" t="s">
        <v>28</v>
      </c>
      <c r="T239">
        <v>402.5</v>
      </c>
      <c r="U239" t="str">
        <f>_xlfn.IFNA(_xlfn.IFS(E239&gt;Dash!$D$46, "Big", E239&lt;Dash!$D$49, "Small", E239&gt;Dash!$D$47, "Good"), "Norm")</f>
        <v>Norm</v>
      </c>
      <c r="V239" t="s">
        <v>33</v>
      </c>
      <c r="W239">
        <v>291.5</v>
      </c>
      <c r="X239" t="s">
        <v>28</v>
      </c>
      <c r="Y239" s="1">
        <v>45516</v>
      </c>
      <c r="Z239">
        <v>152</v>
      </c>
      <c r="AA239" t="str">
        <f>_xlfn.IFNA(_xlfn.IFS(Z239&gt;Dash!$E$46, "Big", Z239&lt;Dash!$E$49, "Small", Z239&gt;Dash!$E$47, "Good"), "Norm")</f>
        <v>Big</v>
      </c>
      <c r="AB239">
        <v>88.25</v>
      </c>
      <c r="AC239" t="str">
        <f>_xlfn.IFNA(_xlfn.IFS(AB239&gt;Dash!$F$46, "Big", AB239&lt;Dash!$F$49, "Small", AB239&gt;Dash!$F$47, "Good"), "Norm")</f>
        <v>Norm</v>
      </c>
      <c r="AD239">
        <v>241.75</v>
      </c>
      <c r="AE239" t="str">
        <f>_xlfn.IFNA(_xlfn.IFS(AD239&gt;Dash!$G$46, "Big", AD239&lt;Dash!$G$49, "Small", AD239&gt;Dash!$G$47, "Good"), "Norm")</f>
        <v>Good</v>
      </c>
      <c r="AF239">
        <v>150.25</v>
      </c>
      <c r="AG239" t="str">
        <f>_xlfn.IFNA(_xlfn.IFS(AF239&gt;Dash!$H$46, "Big", AF239&lt;Dash!$H$49, "Small", AF239&gt;Dash!$H$47, "Good"), "Norm")</f>
        <v>Norm</v>
      </c>
      <c r="AH239">
        <v>41.5</v>
      </c>
      <c r="AI239" t="str">
        <f>_xlfn.IFNA(_xlfn.IFS(AH239&gt;Dash!$I$46, "Big", AH239&lt;Dash!$I$49, "Small", AH239&gt;Dash!$I$47, "Good"), "Norm")</f>
        <v>Good</v>
      </c>
    </row>
    <row r="240" spans="1:35" x14ac:dyDescent="0.25">
      <c r="A240" s="1">
        <v>45517</v>
      </c>
      <c r="B240" t="s">
        <v>19</v>
      </c>
      <c r="C240" t="s">
        <v>13</v>
      </c>
      <c r="D240" t="s">
        <v>28</v>
      </c>
      <c r="E240">
        <v>402.5</v>
      </c>
      <c r="F240">
        <v>300</v>
      </c>
      <c r="G240">
        <v>400</v>
      </c>
      <c r="J240" t="s">
        <v>30</v>
      </c>
      <c r="K240" t="s">
        <v>31</v>
      </c>
      <c r="L240" t="s">
        <v>44</v>
      </c>
      <c r="M240" t="s">
        <v>19</v>
      </c>
      <c r="N240">
        <v>8</v>
      </c>
      <c r="R240" t="s">
        <v>33</v>
      </c>
      <c r="S240" t="s">
        <v>28</v>
      </c>
      <c r="T240">
        <v>278</v>
      </c>
      <c r="U240" t="str">
        <f>_xlfn.IFNA(_xlfn.IFS(E240&gt;Dash!$D$46, "Big", E240&lt;Dash!$D$49, "Small", E240&gt;Dash!$D$47, "Good"), "Norm")</f>
        <v>Big</v>
      </c>
      <c r="V240" t="s">
        <v>24</v>
      </c>
      <c r="W240">
        <v>241.75</v>
      </c>
      <c r="X240" t="s">
        <v>28</v>
      </c>
      <c r="Y240" s="1">
        <v>45517</v>
      </c>
      <c r="Z240">
        <v>83</v>
      </c>
      <c r="AA240" t="str">
        <f>_xlfn.IFNA(_xlfn.IFS(Z240&gt;Dash!$E$46, "Big", Z240&lt;Dash!$E$49, "Small", Z240&gt;Dash!$E$47, "Good"), "Norm")</f>
        <v>Good</v>
      </c>
      <c r="AB240">
        <v>169.75</v>
      </c>
      <c r="AC240" t="str">
        <f>_xlfn.IFNA(_xlfn.IFS(AB240&gt;Dash!$F$46, "Big", AB240&lt;Dash!$F$49, "Small", AB240&gt;Dash!$F$47, "Good"), "Norm")</f>
        <v>Big</v>
      </c>
      <c r="AD240">
        <v>287.5</v>
      </c>
      <c r="AE240" t="str">
        <f>_xlfn.IFNA(_xlfn.IFS(AD240&gt;Dash!$G$46, "Big", AD240&lt;Dash!$G$49, "Small", AD240&gt;Dash!$G$47, "Good"), "Norm")</f>
        <v>Good</v>
      </c>
      <c r="AF240">
        <v>146.5</v>
      </c>
      <c r="AG240" t="str">
        <f>_xlfn.IFNA(_xlfn.IFS(AF240&gt;Dash!$H$46, "Big", AF240&lt;Dash!$H$49, "Small", AF240&gt;Dash!$H$47, "Good"), "Norm")</f>
        <v>Norm</v>
      </c>
      <c r="AH240">
        <v>41</v>
      </c>
      <c r="AI240" t="str">
        <f>_xlfn.IFNA(_xlfn.IFS(AH240&gt;Dash!$I$46, "Big", AH240&lt;Dash!$I$49, "Small", AH240&gt;Dash!$I$47, "Good"), "Norm")</f>
        <v>Good</v>
      </c>
    </row>
    <row r="241" spans="1:35" x14ac:dyDescent="0.25">
      <c r="A241" s="1">
        <v>45518</v>
      </c>
      <c r="B241" t="s">
        <v>18</v>
      </c>
      <c r="C241" t="s">
        <v>33</v>
      </c>
      <c r="D241" t="s">
        <v>28</v>
      </c>
      <c r="E241">
        <v>278</v>
      </c>
      <c r="F241">
        <v>1800</v>
      </c>
      <c r="G241">
        <v>1800</v>
      </c>
      <c r="J241" t="s">
        <v>29</v>
      </c>
      <c r="K241" t="s">
        <v>25</v>
      </c>
      <c r="L241" t="s">
        <v>35</v>
      </c>
      <c r="M241" t="s">
        <v>19</v>
      </c>
      <c r="N241">
        <v>8</v>
      </c>
      <c r="R241" t="s">
        <v>13</v>
      </c>
      <c r="S241" t="s">
        <v>28</v>
      </c>
      <c r="T241">
        <v>465</v>
      </c>
      <c r="U241" t="str">
        <f>_xlfn.IFNA(_xlfn.IFS(E241&gt;Dash!$D$46, "Big", E241&lt;Dash!$D$49, "Small", E241&gt;Dash!$D$47, "Good"), "Norm")</f>
        <v>Good</v>
      </c>
      <c r="V241" t="s">
        <v>13</v>
      </c>
      <c r="W241">
        <v>402.5</v>
      </c>
      <c r="X241" t="s">
        <v>28</v>
      </c>
      <c r="Y241" s="1">
        <v>45518</v>
      </c>
      <c r="Z241">
        <v>71.5</v>
      </c>
      <c r="AA241" t="str">
        <f>_xlfn.IFNA(_xlfn.IFS(Z241&gt;Dash!$E$46, "Big", Z241&lt;Dash!$E$49, "Small", Z241&gt;Dash!$E$47, "Good"), "Norm")</f>
        <v>Norm</v>
      </c>
      <c r="AB241">
        <v>69.5</v>
      </c>
      <c r="AC241" t="str">
        <f>_xlfn.IFNA(_xlfn.IFS(AB241&gt;Dash!$F$46, "Big", AB241&lt;Dash!$F$49, "Small", AB241&gt;Dash!$F$47, "Good"), "Norm")</f>
        <v>Norm</v>
      </c>
      <c r="AD241">
        <v>278</v>
      </c>
      <c r="AE241" t="str">
        <f>_xlfn.IFNA(_xlfn.IFS(AD241&gt;Dash!$G$46, "Big", AD241&lt;Dash!$G$49, "Small", AD241&gt;Dash!$G$47, "Good"), "Norm")</f>
        <v>Good</v>
      </c>
      <c r="AF241">
        <v>180.5</v>
      </c>
      <c r="AG241" t="str">
        <f>_xlfn.IFNA(_xlfn.IFS(AF241&gt;Dash!$H$46, "Big", AF241&lt;Dash!$H$49, "Small", AF241&gt;Dash!$H$47, "Good"), "Norm")</f>
        <v>Good</v>
      </c>
      <c r="AH241">
        <v>58.5</v>
      </c>
      <c r="AI241" t="str">
        <f>_xlfn.IFNA(_xlfn.IFS(AH241&gt;Dash!$I$46, "Big", AH241&lt;Dash!$I$49, "Small", AH241&gt;Dash!$I$47, "Good"), "Norm")</f>
        <v>Good</v>
      </c>
    </row>
    <row r="242" spans="1:35" x14ac:dyDescent="0.25">
      <c r="A242" s="1">
        <v>45519</v>
      </c>
      <c r="B242" t="s">
        <v>36</v>
      </c>
      <c r="C242" t="s">
        <v>13</v>
      </c>
      <c r="D242" t="s">
        <v>28</v>
      </c>
      <c r="E242">
        <v>465</v>
      </c>
      <c r="F242">
        <v>2200</v>
      </c>
      <c r="G242">
        <v>100</v>
      </c>
      <c r="J242" t="s">
        <v>29</v>
      </c>
      <c r="K242" t="s">
        <v>31</v>
      </c>
      <c r="L242" t="s">
        <v>32</v>
      </c>
      <c r="M242" t="s">
        <v>19</v>
      </c>
      <c r="N242">
        <v>8</v>
      </c>
      <c r="R242" t="s">
        <v>41</v>
      </c>
      <c r="S242" t="s">
        <v>28</v>
      </c>
      <c r="T242">
        <v>213.25</v>
      </c>
      <c r="U242" t="str">
        <f>_xlfn.IFNA(_xlfn.IFS(E242&gt;Dash!$D$46, "Big", E242&lt;Dash!$D$49, "Small", E242&gt;Dash!$D$47, "Good"), "Norm")</f>
        <v>Big</v>
      </c>
      <c r="V242" t="s">
        <v>33</v>
      </c>
      <c r="W242">
        <v>278</v>
      </c>
      <c r="X242" t="s">
        <v>28</v>
      </c>
      <c r="Y242" s="1">
        <v>45519</v>
      </c>
      <c r="Z242">
        <v>124.25</v>
      </c>
      <c r="AA242" t="str">
        <f>_xlfn.IFNA(_xlfn.IFS(Z242&gt;Dash!$E$46, "Big", Z242&lt;Dash!$E$49, "Small", Z242&gt;Dash!$E$47, "Good"), "Norm")</f>
        <v>Good</v>
      </c>
      <c r="AB242">
        <v>93.75</v>
      </c>
      <c r="AC242" t="str">
        <f>_xlfn.IFNA(_xlfn.IFS(AB242&gt;Dash!$F$46, "Big", AB242&lt;Dash!$F$49, "Small", AB242&gt;Dash!$F$47, "Good"), "Norm")</f>
        <v>Norm</v>
      </c>
      <c r="AD242">
        <v>408.75</v>
      </c>
      <c r="AE242" t="str">
        <f>_xlfn.IFNA(_xlfn.IFS(AD242&gt;Dash!$G$46, "Big", AD242&lt;Dash!$G$49, "Small", AD242&gt;Dash!$G$47, "Good"), "Norm")</f>
        <v>Big</v>
      </c>
      <c r="AF242">
        <v>90</v>
      </c>
      <c r="AG242" t="str">
        <f>_xlfn.IFNA(_xlfn.IFS(AF242&gt;Dash!$H$46, "Big", AF242&lt;Dash!$H$49, "Small", AF242&gt;Dash!$H$47, "Good"), "Norm")</f>
        <v>Small</v>
      </c>
      <c r="AH242">
        <v>31.5</v>
      </c>
      <c r="AI242" t="str">
        <f>_xlfn.IFNA(_xlfn.IFS(AH242&gt;Dash!$I$46, "Big", AH242&lt;Dash!$I$49, "Small", AH242&gt;Dash!$I$47, "Good"), "Norm")</f>
        <v>Norm</v>
      </c>
    </row>
    <row r="243" spans="1:35" x14ac:dyDescent="0.25">
      <c r="A243" s="1">
        <v>45520</v>
      </c>
      <c r="B243" t="s">
        <v>26</v>
      </c>
      <c r="C243" t="s">
        <v>41</v>
      </c>
      <c r="D243" t="s">
        <v>28</v>
      </c>
      <c r="E243">
        <v>213.25</v>
      </c>
      <c r="F243">
        <v>1800</v>
      </c>
      <c r="G243">
        <v>1800</v>
      </c>
      <c r="J243" t="s">
        <v>29</v>
      </c>
      <c r="K243" t="s">
        <v>22</v>
      </c>
      <c r="L243" t="s">
        <v>25</v>
      </c>
      <c r="M243" t="s">
        <v>19</v>
      </c>
      <c r="N243">
        <v>8</v>
      </c>
      <c r="O243" t="s">
        <v>61</v>
      </c>
      <c r="R243" t="s">
        <v>20</v>
      </c>
      <c r="S243" t="s">
        <v>28</v>
      </c>
      <c r="T243">
        <v>332.25</v>
      </c>
      <c r="U243" t="str">
        <f>_xlfn.IFNA(_xlfn.IFS(E243&gt;Dash!$D$46, "Big", E243&lt;Dash!$D$49, "Small", E243&gt;Dash!$D$47, "Good"), "Norm")</f>
        <v>Norm</v>
      </c>
      <c r="V243" t="s">
        <v>13</v>
      </c>
      <c r="W243">
        <v>465</v>
      </c>
      <c r="X243" t="s">
        <v>28</v>
      </c>
      <c r="Y243" s="1">
        <v>45520</v>
      </c>
      <c r="Z243">
        <v>106.25</v>
      </c>
      <c r="AA243" t="str">
        <f>_xlfn.IFNA(_xlfn.IFS(Z243&gt;Dash!$E$46, "Big", Z243&lt;Dash!$E$49, "Small", Z243&gt;Dash!$E$47, "Good"), "Norm")</f>
        <v>Good</v>
      </c>
      <c r="AB243">
        <v>133.75</v>
      </c>
      <c r="AC243" t="str">
        <f>_xlfn.IFNA(_xlfn.IFS(AB243&gt;Dash!$F$46, "Big", AB243&lt;Dash!$F$49, "Small", AB243&gt;Dash!$F$47, "Good"), "Norm")</f>
        <v>Good</v>
      </c>
      <c r="AD243">
        <v>143.75</v>
      </c>
      <c r="AE243" t="str">
        <f>_xlfn.IFNA(_xlfn.IFS(AD243&gt;Dash!$G$46, "Big", AD243&lt;Dash!$G$49, "Small", AD243&gt;Dash!$G$47, "Good"), "Norm")</f>
        <v>Norm</v>
      </c>
      <c r="AF243">
        <v>96.5</v>
      </c>
      <c r="AG243" t="str">
        <f>_xlfn.IFNA(_xlfn.IFS(AF243&gt;Dash!$H$46, "Big", AF243&lt;Dash!$H$49, "Small", AF243&gt;Dash!$H$47, "Good"), "Norm")</f>
        <v>Norm</v>
      </c>
      <c r="AH243">
        <v>23.75</v>
      </c>
      <c r="AI243" t="str">
        <f>_xlfn.IFNA(_xlfn.IFS(AH243&gt;Dash!$I$46, "Big", AH243&lt;Dash!$I$49, "Small", AH243&gt;Dash!$I$47, "Good"), "Norm")</f>
        <v>Norm</v>
      </c>
    </row>
    <row r="244" spans="1:35" x14ac:dyDescent="0.25">
      <c r="A244" s="1">
        <v>45523</v>
      </c>
      <c r="B244" t="s">
        <v>23</v>
      </c>
      <c r="C244" t="s">
        <v>20</v>
      </c>
      <c r="D244" t="s">
        <v>28</v>
      </c>
      <c r="E244">
        <v>332.25</v>
      </c>
      <c r="F244">
        <v>2300</v>
      </c>
      <c r="G244">
        <v>2300</v>
      </c>
      <c r="J244" t="s">
        <v>29</v>
      </c>
      <c r="K244" t="s">
        <v>39</v>
      </c>
      <c r="L244" t="s">
        <v>44</v>
      </c>
      <c r="M244" t="s">
        <v>18</v>
      </c>
      <c r="N244">
        <v>6</v>
      </c>
      <c r="R244" t="s">
        <v>41</v>
      </c>
      <c r="S244" t="s">
        <v>43</v>
      </c>
      <c r="T244">
        <v>182</v>
      </c>
      <c r="U244" t="str">
        <f>_xlfn.IFNA(_xlfn.IFS(E244&gt;Dash!$D$46, "Big", E244&lt;Dash!$D$49, "Small", E244&gt;Dash!$D$47, "Good"), "Norm")</f>
        <v>Good</v>
      </c>
      <c r="V244" t="s">
        <v>41</v>
      </c>
      <c r="W244">
        <v>213.25</v>
      </c>
      <c r="X244" t="s">
        <v>28</v>
      </c>
      <c r="Y244" s="1">
        <v>45523</v>
      </c>
      <c r="Z244">
        <v>110.25</v>
      </c>
      <c r="AA244" t="str">
        <f>_xlfn.IFNA(_xlfn.IFS(Z244&gt;Dash!$E$46, "Big", Z244&lt;Dash!$E$49, "Small", Z244&gt;Dash!$E$47, "Good"), "Norm")</f>
        <v>Good</v>
      </c>
      <c r="AB244">
        <v>93.25</v>
      </c>
      <c r="AC244" t="str">
        <f>_xlfn.IFNA(_xlfn.IFS(AB244&gt;Dash!$F$46, "Big", AB244&lt;Dash!$F$49, "Small", AB244&gt;Dash!$F$47, "Good"), "Norm")</f>
        <v>Norm</v>
      </c>
      <c r="AD244">
        <v>151</v>
      </c>
      <c r="AE244" t="str">
        <f>_xlfn.IFNA(_xlfn.IFS(AD244&gt;Dash!$G$46, "Big", AD244&lt;Dash!$G$49, "Small", AD244&gt;Dash!$G$47, "Good"), "Norm")</f>
        <v>Norm</v>
      </c>
      <c r="AF244">
        <v>241</v>
      </c>
      <c r="AG244" t="str">
        <f>_xlfn.IFNA(_xlfn.IFS(AF244&gt;Dash!$H$46, "Big", AF244&lt;Dash!$H$49, "Small", AF244&gt;Dash!$H$47, "Good"), "Norm")</f>
        <v>Big</v>
      </c>
      <c r="AH244">
        <v>39</v>
      </c>
      <c r="AI244" t="str">
        <f>_xlfn.IFNA(_xlfn.IFS(AH244&gt;Dash!$I$46, "Big", AH244&lt;Dash!$I$49, "Small", AH244&gt;Dash!$I$47, "Good"), "Norm")</f>
        <v>Good</v>
      </c>
    </row>
    <row r="245" spans="1:35" x14ac:dyDescent="0.25">
      <c r="A245" s="1">
        <v>45524</v>
      </c>
      <c r="B245" t="s">
        <v>19</v>
      </c>
      <c r="C245" t="s">
        <v>41</v>
      </c>
      <c r="D245" t="s">
        <v>43</v>
      </c>
      <c r="E245">
        <v>182</v>
      </c>
      <c r="F245">
        <v>1800</v>
      </c>
      <c r="G245">
        <v>1800</v>
      </c>
      <c r="J245" t="s">
        <v>29</v>
      </c>
      <c r="K245" t="s">
        <v>22</v>
      </c>
      <c r="L245" t="s">
        <v>25</v>
      </c>
      <c r="M245" t="s">
        <v>18</v>
      </c>
      <c r="N245">
        <v>6</v>
      </c>
      <c r="R245" t="s">
        <v>33</v>
      </c>
      <c r="S245" t="s">
        <v>28</v>
      </c>
      <c r="T245">
        <v>210.25</v>
      </c>
      <c r="U245" t="str">
        <f>_xlfn.IFNA(_xlfn.IFS(E245&gt;Dash!$D$46, "Big", E245&lt;Dash!$D$49, "Small", E245&gt;Dash!$D$47, "Good"), "Norm")</f>
        <v>Norm</v>
      </c>
      <c r="V245" t="s">
        <v>20</v>
      </c>
      <c r="W245">
        <v>332.25</v>
      </c>
      <c r="X245" t="s">
        <v>28</v>
      </c>
      <c r="Y245" s="1">
        <v>45524</v>
      </c>
      <c r="Z245">
        <v>69.5</v>
      </c>
      <c r="AA245" t="str">
        <f>_xlfn.IFNA(_xlfn.IFS(Z245&gt;Dash!$E$46, "Big", Z245&lt;Dash!$E$49, "Small", Z245&gt;Dash!$E$47, "Good"), "Norm")</f>
        <v>Norm</v>
      </c>
      <c r="AB245">
        <v>81.25</v>
      </c>
      <c r="AC245" t="str">
        <f>_xlfn.IFNA(_xlfn.IFS(AB245&gt;Dash!$F$46, "Big", AB245&lt;Dash!$F$49, "Small", AB245&gt;Dash!$F$47, "Good"), "Norm")</f>
        <v>Norm</v>
      </c>
      <c r="AD245">
        <v>182</v>
      </c>
      <c r="AE245" t="str">
        <f>_xlfn.IFNA(_xlfn.IFS(AD245&gt;Dash!$G$46, "Big", AD245&lt;Dash!$G$49, "Small", AD245&gt;Dash!$G$47, "Good"), "Norm")</f>
        <v>Norm</v>
      </c>
      <c r="AF245">
        <v>119.5</v>
      </c>
      <c r="AG245" t="str">
        <f>_xlfn.IFNA(_xlfn.IFS(AF245&gt;Dash!$H$46, "Big", AF245&lt;Dash!$H$49, "Small", AF245&gt;Dash!$H$47, "Good"), "Norm")</f>
        <v>Norm</v>
      </c>
      <c r="AH245">
        <v>29.75</v>
      </c>
      <c r="AI245" t="str">
        <f>_xlfn.IFNA(_xlfn.IFS(AH245&gt;Dash!$I$46, "Big", AH245&lt;Dash!$I$49, "Small", AH245&gt;Dash!$I$47, "Good"), "Norm")</f>
        <v>Norm</v>
      </c>
    </row>
    <row r="246" spans="1:35" x14ac:dyDescent="0.25">
      <c r="A246" s="1">
        <v>45525</v>
      </c>
      <c r="B246" t="s">
        <v>18</v>
      </c>
      <c r="C246" t="s">
        <v>33</v>
      </c>
      <c r="D246" t="s">
        <v>28</v>
      </c>
      <c r="E246">
        <v>210.25</v>
      </c>
      <c r="F246">
        <v>1000</v>
      </c>
      <c r="G246">
        <v>1000</v>
      </c>
      <c r="J246" t="s">
        <v>27</v>
      </c>
      <c r="K246" t="s">
        <v>35</v>
      </c>
      <c r="L246" t="s">
        <v>17</v>
      </c>
      <c r="M246" t="s">
        <v>18</v>
      </c>
      <c r="N246">
        <v>6</v>
      </c>
      <c r="R246" t="s">
        <v>33</v>
      </c>
      <c r="S246" t="s">
        <v>48</v>
      </c>
      <c r="T246">
        <v>483.25</v>
      </c>
      <c r="U246" t="str">
        <f>_xlfn.IFNA(_xlfn.IFS(E246&gt;Dash!$D$46, "Big", E246&lt;Dash!$D$49, "Small", E246&gt;Dash!$D$47, "Good"), "Norm")</f>
        <v>Norm</v>
      </c>
      <c r="V246" t="s">
        <v>41</v>
      </c>
      <c r="W246">
        <v>182</v>
      </c>
      <c r="X246" t="s">
        <v>43</v>
      </c>
      <c r="Y246" s="1">
        <v>45525</v>
      </c>
      <c r="Z246">
        <v>70</v>
      </c>
      <c r="AA246" t="str">
        <f>_xlfn.IFNA(_xlfn.IFS(Z246&gt;Dash!$E$46, "Big", Z246&lt;Dash!$E$49, "Small", Z246&gt;Dash!$E$47, "Good"), "Norm")</f>
        <v>Norm</v>
      </c>
      <c r="AB246">
        <v>71.25</v>
      </c>
      <c r="AC246" t="str">
        <f>_xlfn.IFNA(_xlfn.IFS(AB246&gt;Dash!$F$46, "Big", AB246&lt;Dash!$F$49, "Small", AB246&gt;Dash!$F$47, "Good"), "Norm")</f>
        <v>Norm</v>
      </c>
      <c r="AD246">
        <v>179.25</v>
      </c>
      <c r="AE246" t="str">
        <f>_xlfn.IFNA(_xlfn.IFS(AD246&gt;Dash!$G$46, "Big", AD246&lt;Dash!$G$49, "Small", AD246&gt;Dash!$G$47, "Good"), "Norm")</f>
        <v>Norm</v>
      </c>
      <c r="AF246">
        <v>181.75</v>
      </c>
      <c r="AG246" t="str">
        <f>_xlfn.IFNA(_xlfn.IFS(AF246&gt;Dash!$H$46, "Big", AF246&lt;Dash!$H$49, "Small", AF246&gt;Dash!$H$47, "Good"), "Norm")</f>
        <v>Good</v>
      </c>
      <c r="AH246">
        <v>44</v>
      </c>
      <c r="AI246" t="str">
        <f>_xlfn.IFNA(_xlfn.IFS(AH246&gt;Dash!$I$46, "Big", AH246&lt;Dash!$I$49, "Small", AH246&gt;Dash!$I$47, "Good"), "Norm")</f>
        <v>Good</v>
      </c>
    </row>
    <row r="247" spans="1:35" x14ac:dyDescent="0.25">
      <c r="A247" s="1">
        <v>45526</v>
      </c>
      <c r="B247" t="s">
        <v>36</v>
      </c>
      <c r="C247" t="s">
        <v>33</v>
      </c>
      <c r="D247" t="s">
        <v>48</v>
      </c>
      <c r="E247">
        <v>483.25</v>
      </c>
      <c r="F247">
        <v>700</v>
      </c>
      <c r="G247">
        <v>700</v>
      </c>
      <c r="H247">
        <v>1100</v>
      </c>
      <c r="J247" t="s">
        <v>30</v>
      </c>
      <c r="K247" t="s">
        <v>35</v>
      </c>
      <c r="L247" t="s">
        <v>17</v>
      </c>
      <c r="M247" t="s">
        <v>18</v>
      </c>
      <c r="N247">
        <v>6</v>
      </c>
      <c r="R247" t="s">
        <v>33</v>
      </c>
      <c r="S247">
        <v>1</v>
      </c>
      <c r="T247">
        <v>312.5</v>
      </c>
      <c r="U247" t="str">
        <f>_xlfn.IFNA(_xlfn.IFS(E247&gt;Dash!$D$46, "Big", E247&lt;Dash!$D$49, "Small", E247&gt;Dash!$D$47, "Good"), "Norm")</f>
        <v>Big</v>
      </c>
      <c r="V247" t="s">
        <v>33</v>
      </c>
      <c r="W247">
        <v>210.25</v>
      </c>
      <c r="X247" t="s">
        <v>28</v>
      </c>
      <c r="Y247" s="1">
        <v>45526</v>
      </c>
      <c r="Z247">
        <v>78.25</v>
      </c>
      <c r="AA247" t="str">
        <f>_xlfn.IFNA(_xlfn.IFS(Z247&gt;Dash!$E$46, "Big", Z247&lt;Dash!$E$49, "Small", Z247&gt;Dash!$E$47, "Good"), "Norm")</f>
        <v>Good</v>
      </c>
      <c r="AB247">
        <v>99.75</v>
      </c>
      <c r="AC247" t="str">
        <f>_xlfn.IFNA(_xlfn.IFS(AB247&gt;Dash!$F$46, "Big", AB247&lt;Dash!$F$49, "Small", AB247&gt;Dash!$F$47, "Good"), "Norm")</f>
        <v>Good</v>
      </c>
      <c r="AD247">
        <v>361.25</v>
      </c>
      <c r="AE247" t="str">
        <f>_xlfn.IFNA(_xlfn.IFS(AD247&gt;Dash!$G$46, "Big", AD247&lt;Dash!$G$49, "Small", AD247&gt;Dash!$G$47, "Good"), "Norm")</f>
        <v>Big</v>
      </c>
      <c r="AF247">
        <v>289.75</v>
      </c>
      <c r="AG247" t="str">
        <f>_xlfn.IFNA(_xlfn.IFS(AF247&gt;Dash!$H$46, "Big", AF247&lt;Dash!$H$49, "Small", AF247&gt;Dash!$H$47, "Good"), "Norm")</f>
        <v>Big</v>
      </c>
      <c r="AH247">
        <v>63.25</v>
      </c>
      <c r="AI247" t="str">
        <f>_xlfn.IFNA(_xlfn.IFS(AH247&gt;Dash!$I$46, "Big", AH247&lt;Dash!$I$49, "Small", AH247&gt;Dash!$I$47, "Good"), "Norm")</f>
        <v>Good</v>
      </c>
    </row>
    <row r="248" spans="1:35" x14ac:dyDescent="0.25">
      <c r="A248" s="1">
        <v>45527</v>
      </c>
      <c r="B248" t="s">
        <v>26</v>
      </c>
      <c r="C248" t="s">
        <v>33</v>
      </c>
      <c r="D248">
        <v>1</v>
      </c>
      <c r="E248">
        <v>312.5</v>
      </c>
      <c r="J248" t="s">
        <v>34</v>
      </c>
      <c r="K248" t="s">
        <v>35</v>
      </c>
      <c r="L248" t="s">
        <v>17</v>
      </c>
      <c r="M248" t="s">
        <v>18</v>
      </c>
      <c r="N248">
        <v>6</v>
      </c>
      <c r="R248" t="s">
        <v>41</v>
      </c>
      <c r="S248" t="s">
        <v>14</v>
      </c>
      <c r="T248">
        <v>296</v>
      </c>
      <c r="U248" t="str">
        <f>_xlfn.IFNA(_xlfn.IFS(E248&gt;Dash!$D$46, "Big", E248&lt;Dash!$D$49, "Small", E248&gt;Dash!$D$47, "Good"), "Norm")</f>
        <v>Good</v>
      </c>
      <c r="V248" t="s">
        <v>33</v>
      </c>
      <c r="W248">
        <v>483.25</v>
      </c>
      <c r="X248" t="s">
        <v>48</v>
      </c>
      <c r="Y248" s="1">
        <v>45527</v>
      </c>
      <c r="Z248">
        <v>87.75</v>
      </c>
      <c r="AA248" t="str">
        <f>_xlfn.IFNA(_xlfn.IFS(Z248&gt;Dash!$E$46, "Big", Z248&lt;Dash!$E$49, "Small", Z248&gt;Dash!$E$47, "Good"), "Norm")</f>
        <v>Good</v>
      </c>
      <c r="AB248">
        <v>83.25</v>
      </c>
      <c r="AC248" t="str">
        <f>_xlfn.IFNA(_xlfn.IFS(AB248&gt;Dash!$F$46, "Big", AB248&lt;Dash!$F$49, "Small", AB248&gt;Dash!$F$47, "Good"), "Norm")</f>
        <v>Norm</v>
      </c>
      <c r="AD248">
        <v>281.75</v>
      </c>
      <c r="AE248" t="str">
        <f>_xlfn.IFNA(_xlfn.IFS(AD248&gt;Dash!$G$46, "Big", AD248&lt;Dash!$G$49, "Small", AD248&gt;Dash!$G$47, "Good"), "Norm")</f>
        <v>Good</v>
      </c>
      <c r="AF248">
        <v>219.5</v>
      </c>
      <c r="AG248" t="str">
        <f>_xlfn.IFNA(_xlfn.IFS(AF248&gt;Dash!$H$46, "Big", AF248&lt;Dash!$H$49, "Small", AF248&gt;Dash!$H$47, "Good"), "Norm")</f>
        <v>Good</v>
      </c>
      <c r="AH248">
        <v>25.25</v>
      </c>
      <c r="AI248" t="str">
        <f>_xlfn.IFNA(_xlfn.IFS(AH248&gt;Dash!$I$46, "Big", AH248&lt;Dash!$I$49, "Small", AH248&gt;Dash!$I$47, "Good"), "Norm")</f>
        <v>Norm</v>
      </c>
    </row>
    <row r="249" spans="1:35" x14ac:dyDescent="0.25">
      <c r="A249" s="1">
        <v>45530</v>
      </c>
      <c r="B249" t="s">
        <v>23</v>
      </c>
      <c r="C249" t="s">
        <v>41</v>
      </c>
      <c r="D249" t="s">
        <v>14</v>
      </c>
      <c r="E249">
        <v>296</v>
      </c>
      <c r="F249">
        <v>1000</v>
      </c>
      <c r="G249">
        <v>1000</v>
      </c>
      <c r="J249" t="s">
        <v>45</v>
      </c>
      <c r="K249" t="s">
        <v>22</v>
      </c>
      <c r="L249" t="s">
        <v>25</v>
      </c>
      <c r="M249" t="s">
        <v>19</v>
      </c>
      <c r="N249">
        <v>4</v>
      </c>
      <c r="R249" t="s">
        <v>33</v>
      </c>
      <c r="S249" t="s">
        <v>46</v>
      </c>
      <c r="T249">
        <v>252.75</v>
      </c>
      <c r="U249" t="str">
        <f>_xlfn.IFNA(_xlfn.IFS(E249&gt;Dash!$D$46, "Big", E249&lt;Dash!$D$49, "Small", E249&gt;Dash!$D$47, "Good"), "Norm")</f>
        <v>Good</v>
      </c>
      <c r="V249" t="s">
        <v>33</v>
      </c>
      <c r="W249">
        <v>312.5</v>
      </c>
      <c r="X249">
        <v>1</v>
      </c>
      <c r="Y249" s="1">
        <v>45530</v>
      </c>
      <c r="Z249">
        <v>116.25</v>
      </c>
      <c r="AA249" t="str">
        <f>_xlfn.IFNA(_xlfn.IFS(Z249&gt;Dash!$E$46, "Big", Z249&lt;Dash!$E$49, "Small", Z249&gt;Dash!$E$47, "Good"), "Norm")</f>
        <v>Good</v>
      </c>
      <c r="AB249">
        <v>101.25</v>
      </c>
      <c r="AC249" t="str">
        <f>_xlfn.IFNA(_xlfn.IFS(AB249&gt;Dash!$F$46, "Big", AB249&lt;Dash!$F$49, "Small", AB249&gt;Dash!$F$47, "Good"), "Norm")</f>
        <v>Good</v>
      </c>
      <c r="AD249">
        <v>296</v>
      </c>
      <c r="AE249" t="str">
        <f>_xlfn.IFNA(_xlfn.IFS(AD249&gt;Dash!$G$46, "Big", AD249&lt;Dash!$G$49, "Small", AD249&gt;Dash!$G$47, "Good"), "Norm")</f>
        <v>Good</v>
      </c>
      <c r="AF249">
        <v>129</v>
      </c>
      <c r="AG249" t="str">
        <f>_xlfn.IFNA(_xlfn.IFS(AF249&gt;Dash!$H$46, "Big", AF249&lt;Dash!$H$49, "Small", AF249&gt;Dash!$H$47, "Good"), "Norm")</f>
        <v>Norm</v>
      </c>
      <c r="AH249">
        <v>49</v>
      </c>
      <c r="AI249" t="str">
        <f>_xlfn.IFNA(_xlfn.IFS(AH249&gt;Dash!$I$46, "Big", AH249&lt;Dash!$I$49, "Small", AH249&gt;Dash!$I$47, "Good"), "Norm")</f>
        <v>Good</v>
      </c>
    </row>
    <row r="250" spans="1:35" x14ac:dyDescent="0.25">
      <c r="A250" s="1">
        <v>45531</v>
      </c>
      <c r="B250" t="s">
        <v>19</v>
      </c>
      <c r="C250" t="s">
        <v>33</v>
      </c>
      <c r="D250" t="s">
        <v>46</v>
      </c>
      <c r="E250">
        <v>252.75</v>
      </c>
      <c r="F250">
        <v>800</v>
      </c>
      <c r="G250">
        <v>800</v>
      </c>
      <c r="J250" t="s">
        <v>45</v>
      </c>
      <c r="K250" t="s">
        <v>25</v>
      </c>
      <c r="L250" t="s">
        <v>35</v>
      </c>
      <c r="M250" t="s">
        <v>19</v>
      </c>
      <c r="N250">
        <v>4</v>
      </c>
      <c r="R250" t="s">
        <v>20</v>
      </c>
      <c r="S250" t="s">
        <v>14</v>
      </c>
      <c r="T250">
        <v>378</v>
      </c>
      <c r="U250" t="str">
        <f>_xlfn.IFNA(_xlfn.IFS(E250&gt;Dash!$D$46, "Big", E250&lt;Dash!$D$49, "Small", E250&gt;Dash!$D$47, "Good"), "Norm")</f>
        <v>Good</v>
      </c>
      <c r="V250" t="s">
        <v>41</v>
      </c>
      <c r="W250">
        <v>296</v>
      </c>
      <c r="X250" t="s">
        <v>14</v>
      </c>
      <c r="Y250" s="1">
        <v>45531</v>
      </c>
      <c r="Z250">
        <v>100.5</v>
      </c>
      <c r="AA250" t="str">
        <f>_xlfn.IFNA(_xlfn.IFS(Z250&gt;Dash!$E$46, "Big", Z250&lt;Dash!$E$49, "Small", Z250&gt;Dash!$E$47, "Good"), "Norm")</f>
        <v>Good</v>
      </c>
      <c r="AB250">
        <v>93</v>
      </c>
      <c r="AC250" t="str">
        <f>_xlfn.IFNA(_xlfn.IFS(AB250&gt;Dash!$F$46, "Big", AB250&lt;Dash!$F$49, "Small", AB250&gt;Dash!$F$47, "Good"), "Norm")</f>
        <v>Norm</v>
      </c>
      <c r="AD250">
        <v>252.75</v>
      </c>
      <c r="AE250" t="str">
        <f>_xlfn.IFNA(_xlfn.IFS(AD250&gt;Dash!$G$46, "Big", AD250&lt;Dash!$G$49, "Small", AD250&gt;Dash!$G$47, "Good"), "Norm")</f>
        <v>Good</v>
      </c>
      <c r="AF250">
        <v>109.5</v>
      </c>
      <c r="AG250" t="str">
        <f>_xlfn.IFNA(_xlfn.IFS(AF250&gt;Dash!$H$46, "Big", AF250&lt;Dash!$H$49, "Small", AF250&gt;Dash!$H$47, "Good"), "Norm")</f>
        <v>Norm</v>
      </c>
      <c r="AH250">
        <v>35.75</v>
      </c>
      <c r="AI250" t="str">
        <f>_xlfn.IFNA(_xlfn.IFS(AH250&gt;Dash!$I$46, "Big", AH250&lt;Dash!$I$49, "Small", AH250&gt;Dash!$I$47, "Good"), "Norm")</f>
        <v>Norm</v>
      </c>
    </row>
    <row r="251" spans="1:35" x14ac:dyDescent="0.25">
      <c r="A251" s="1">
        <v>45532</v>
      </c>
      <c r="B251" t="s">
        <v>18</v>
      </c>
      <c r="C251" t="s">
        <v>20</v>
      </c>
      <c r="D251" t="s">
        <v>14</v>
      </c>
      <c r="E251">
        <v>378</v>
      </c>
      <c r="F251">
        <v>1100</v>
      </c>
      <c r="J251" t="s">
        <v>45</v>
      </c>
      <c r="K251" t="s">
        <v>22</v>
      </c>
      <c r="L251" t="s">
        <v>42</v>
      </c>
      <c r="M251" t="s">
        <v>19</v>
      </c>
      <c r="N251">
        <v>4</v>
      </c>
      <c r="O251" t="s">
        <v>66</v>
      </c>
      <c r="R251" t="s">
        <v>24</v>
      </c>
      <c r="S251" t="s">
        <v>47</v>
      </c>
      <c r="T251">
        <v>356.5</v>
      </c>
      <c r="U251" t="str">
        <f>_xlfn.IFNA(_xlfn.IFS(E251&gt;Dash!$D$46, "Big", E251&lt;Dash!$D$49, "Small", E251&gt;Dash!$D$47, "Good"), "Norm")</f>
        <v>Good</v>
      </c>
      <c r="V251" t="s">
        <v>33</v>
      </c>
      <c r="W251">
        <v>252.75</v>
      </c>
      <c r="X251" t="s">
        <v>46</v>
      </c>
      <c r="Y251" s="1">
        <v>45532</v>
      </c>
      <c r="Z251">
        <v>84.25</v>
      </c>
      <c r="AA251" t="str">
        <f>_xlfn.IFNA(_xlfn.IFS(Z251&gt;Dash!$E$46, "Big", Z251&lt;Dash!$E$49, "Small", Z251&gt;Dash!$E$47, "Good"), "Norm")</f>
        <v>Good</v>
      </c>
      <c r="AB251">
        <v>81.5</v>
      </c>
      <c r="AC251" t="str">
        <f>_xlfn.IFNA(_xlfn.IFS(AB251&gt;Dash!$F$46, "Big", AB251&lt;Dash!$F$49, "Small", AB251&gt;Dash!$F$47, "Good"), "Norm")</f>
        <v>Norm</v>
      </c>
      <c r="AD251">
        <v>317.25</v>
      </c>
      <c r="AE251" t="str">
        <f>_xlfn.IFNA(_xlfn.IFS(AD251&gt;Dash!$G$46, "Big", AD251&lt;Dash!$G$49, "Small", AD251&gt;Dash!$G$47, "Good"), "Norm")</f>
        <v>Big</v>
      </c>
      <c r="AF251">
        <v>204.25</v>
      </c>
      <c r="AG251" t="str">
        <f>_xlfn.IFNA(_xlfn.IFS(AF251&gt;Dash!$H$46, "Big", AF251&lt;Dash!$H$49, "Small", AF251&gt;Dash!$H$47, "Good"), "Norm")</f>
        <v>Good</v>
      </c>
      <c r="AH251">
        <v>232.75</v>
      </c>
      <c r="AI251" t="str">
        <f>_xlfn.IFNA(_xlfn.IFS(AH251&gt;Dash!$I$46, "Big", AH251&lt;Dash!$I$49, "Small", AH251&gt;Dash!$I$47, "Good"), "Norm")</f>
        <v>Big</v>
      </c>
    </row>
    <row r="252" spans="1:35" x14ac:dyDescent="0.25">
      <c r="A252" s="1">
        <v>45533</v>
      </c>
      <c r="B252" t="s">
        <v>36</v>
      </c>
      <c r="C252" t="s">
        <v>24</v>
      </c>
      <c r="D252" t="s">
        <v>47</v>
      </c>
      <c r="E252">
        <v>356.5</v>
      </c>
      <c r="F252">
        <v>1800</v>
      </c>
      <c r="G252">
        <v>2000</v>
      </c>
      <c r="J252" t="s">
        <v>37</v>
      </c>
      <c r="K252" t="s">
        <v>31</v>
      </c>
      <c r="L252" t="s">
        <v>35</v>
      </c>
      <c r="M252" t="s">
        <v>19</v>
      </c>
      <c r="N252">
        <v>4</v>
      </c>
      <c r="R252" t="s">
        <v>33</v>
      </c>
      <c r="S252">
        <v>1</v>
      </c>
      <c r="T252">
        <v>262.25</v>
      </c>
      <c r="U252" t="str">
        <f>_xlfn.IFNA(_xlfn.IFS(E252&gt;Dash!$D$46, "Big", E252&lt;Dash!$D$49, "Small", E252&gt;Dash!$D$47, "Good"), "Norm")</f>
        <v>Good</v>
      </c>
      <c r="V252" t="s">
        <v>20</v>
      </c>
      <c r="W252">
        <v>378</v>
      </c>
      <c r="X252" t="s">
        <v>14</v>
      </c>
      <c r="Y252" s="1">
        <v>45533</v>
      </c>
      <c r="Z252">
        <v>189.25</v>
      </c>
      <c r="AA252" t="str">
        <f>_xlfn.IFNA(_xlfn.IFS(Z252&gt;Dash!$E$46, "Big", Z252&lt;Dash!$E$49, "Small", Z252&gt;Dash!$E$47, "Good"), "Norm")</f>
        <v>Big</v>
      </c>
      <c r="AB252">
        <v>207.5</v>
      </c>
      <c r="AC252" t="str">
        <f>_xlfn.IFNA(_xlfn.IFS(AB252&gt;Dash!$F$46, "Big", AB252&lt;Dash!$F$49, "Small", AB252&gt;Dash!$F$47, "Good"), "Norm")</f>
        <v>Big</v>
      </c>
      <c r="AD252">
        <v>249.75</v>
      </c>
      <c r="AE252" t="str">
        <f>_xlfn.IFNA(_xlfn.IFS(AD252&gt;Dash!$G$46, "Big", AD252&lt;Dash!$G$49, "Small", AD252&gt;Dash!$G$47, "Good"), "Norm")</f>
        <v>Good</v>
      </c>
      <c r="AF252">
        <v>353</v>
      </c>
      <c r="AG252" t="str">
        <f>_xlfn.IFNA(_xlfn.IFS(AF252&gt;Dash!$H$46, "Big", AF252&lt;Dash!$H$49, "Small", AF252&gt;Dash!$H$47, "Good"), "Norm")</f>
        <v>Big</v>
      </c>
      <c r="AH252">
        <v>64</v>
      </c>
      <c r="AI252" t="str">
        <f>_xlfn.IFNA(_xlfn.IFS(AH252&gt;Dash!$I$46, "Big", AH252&lt;Dash!$I$49, "Small", AH252&gt;Dash!$I$47, "Good"), "Norm")</f>
        <v>Good</v>
      </c>
    </row>
    <row r="253" spans="1:35" x14ac:dyDescent="0.25">
      <c r="A253" s="1">
        <v>45534</v>
      </c>
      <c r="B253" t="s">
        <v>26</v>
      </c>
      <c r="C253" t="s">
        <v>33</v>
      </c>
      <c r="D253">
        <v>1</v>
      </c>
      <c r="E253">
        <v>262.25</v>
      </c>
      <c r="J253" t="s">
        <v>34</v>
      </c>
      <c r="K253" t="s">
        <v>17</v>
      </c>
      <c r="L253" t="s">
        <v>32</v>
      </c>
      <c r="M253" t="s">
        <v>19</v>
      </c>
      <c r="N253">
        <v>4</v>
      </c>
      <c r="R253" t="s">
        <v>13</v>
      </c>
      <c r="S253" t="s">
        <v>48</v>
      </c>
      <c r="T253">
        <v>611.25</v>
      </c>
      <c r="U253" t="str">
        <f>_xlfn.IFNA(_xlfn.IFS(E253&gt;Dash!$D$46, "Big", E253&lt;Dash!$D$49, "Small", E253&gt;Dash!$D$47, "Good"), "Norm")</f>
        <v>Good</v>
      </c>
      <c r="V253" t="s">
        <v>24</v>
      </c>
      <c r="W253">
        <v>356.5</v>
      </c>
      <c r="X253" t="s">
        <v>47</v>
      </c>
      <c r="Y253" s="1">
        <v>45534</v>
      </c>
      <c r="Z253">
        <v>88</v>
      </c>
      <c r="AA253" t="str">
        <f>_xlfn.IFNA(_xlfn.IFS(Z253&gt;Dash!$E$46, "Big", Z253&lt;Dash!$E$49, "Small", Z253&gt;Dash!$E$47, "Good"), "Norm")</f>
        <v>Good</v>
      </c>
      <c r="AB253">
        <v>95</v>
      </c>
      <c r="AC253" t="str">
        <f>_xlfn.IFNA(_xlfn.IFS(AB253&gt;Dash!$F$46, "Big", AB253&lt;Dash!$F$49, "Small", AB253&gt;Dash!$F$47, "Good"), "Norm")</f>
        <v>Norm</v>
      </c>
      <c r="AD253">
        <v>214.5</v>
      </c>
      <c r="AE253" t="str">
        <f>_xlfn.IFNA(_xlfn.IFS(AD253&gt;Dash!$G$46, "Big", AD253&lt;Dash!$G$49, "Small", AD253&gt;Dash!$G$47, "Good"), "Norm")</f>
        <v>Good</v>
      </c>
      <c r="AF253">
        <v>262.25</v>
      </c>
      <c r="AG253" t="str">
        <f>_xlfn.IFNA(_xlfn.IFS(AF253&gt;Dash!$H$46, "Big", AF253&lt;Dash!$H$49, "Small", AF253&gt;Dash!$H$47, "Good"), "Norm")</f>
        <v>Big</v>
      </c>
      <c r="AH253">
        <v>35</v>
      </c>
      <c r="AI253" t="str">
        <f>_xlfn.IFNA(_xlfn.IFS(AH253&gt;Dash!$I$46, "Big", AH253&lt;Dash!$I$49, "Small", AH253&gt;Dash!$I$47, "Good"), "Norm")</f>
        <v>Norm</v>
      </c>
    </row>
    <row r="254" spans="1:35" x14ac:dyDescent="0.25">
      <c r="A254" s="1">
        <v>45538</v>
      </c>
      <c r="B254" t="s">
        <v>19</v>
      </c>
      <c r="C254" t="s">
        <v>13</v>
      </c>
      <c r="D254" t="s">
        <v>48</v>
      </c>
      <c r="E254">
        <v>611.25</v>
      </c>
      <c r="F254">
        <v>1800</v>
      </c>
      <c r="G254">
        <v>1900</v>
      </c>
      <c r="H254">
        <v>900</v>
      </c>
      <c r="J254" t="s">
        <v>29</v>
      </c>
      <c r="K254" t="s">
        <v>16</v>
      </c>
      <c r="L254" t="s">
        <v>17</v>
      </c>
      <c r="M254" t="s">
        <v>19</v>
      </c>
      <c r="N254">
        <v>9</v>
      </c>
      <c r="R254" t="s">
        <v>24</v>
      </c>
      <c r="S254" t="s">
        <v>46</v>
      </c>
      <c r="T254">
        <v>276.5</v>
      </c>
      <c r="U254" t="str">
        <f>_xlfn.IFNA(_xlfn.IFS(E254&gt;Dash!$D$46, "Big", E254&lt;Dash!$D$49, "Small", E254&gt;Dash!$D$47, "Good"), "Norm")</f>
        <v>Big</v>
      </c>
      <c r="V254" t="s">
        <v>33</v>
      </c>
      <c r="W254">
        <v>262.25</v>
      </c>
      <c r="X254">
        <v>1</v>
      </c>
      <c r="Y254" s="1">
        <v>45538</v>
      </c>
      <c r="Z254">
        <v>169</v>
      </c>
      <c r="AA254" t="str">
        <f>_xlfn.IFNA(_xlfn.IFS(Z254&gt;Dash!$E$46, "Big", Z254&lt;Dash!$E$49, "Small", Z254&gt;Dash!$E$47, "Good"), "Norm")</f>
        <v>Big</v>
      </c>
      <c r="AB254">
        <v>199.25</v>
      </c>
      <c r="AC254" t="str">
        <f>_xlfn.IFNA(_xlfn.IFS(AB254&gt;Dash!$F$46, "Big", AB254&lt;Dash!$F$49, "Small", AB254&gt;Dash!$F$47, "Good"), "Norm")</f>
        <v>Big</v>
      </c>
      <c r="AD254">
        <v>379.25</v>
      </c>
      <c r="AE254" t="str">
        <f>_xlfn.IFNA(_xlfn.IFS(AD254&gt;Dash!$G$46, "Big", AD254&lt;Dash!$G$49, "Small", AD254&gt;Dash!$G$47, "Good"), "Norm")</f>
        <v>Big</v>
      </c>
      <c r="AF254">
        <v>294</v>
      </c>
      <c r="AG254" t="str">
        <f>_xlfn.IFNA(_xlfn.IFS(AF254&gt;Dash!$H$46, "Big", AF254&lt;Dash!$H$49, "Small", AF254&gt;Dash!$H$47, "Good"), "Norm")</f>
        <v>Big</v>
      </c>
      <c r="AH254">
        <v>68</v>
      </c>
      <c r="AI254" t="str">
        <f>_xlfn.IFNA(_xlfn.IFS(AH254&gt;Dash!$I$46, "Big", AH254&lt;Dash!$I$49, "Small", AH254&gt;Dash!$I$47, "Good"), "Norm")</f>
        <v>Good</v>
      </c>
    </row>
    <row r="255" spans="1:35" x14ac:dyDescent="0.25">
      <c r="A255" s="1">
        <v>45539</v>
      </c>
      <c r="B255" t="s">
        <v>18</v>
      </c>
      <c r="C255" t="s">
        <v>24</v>
      </c>
      <c r="D255" t="s">
        <v>46</v>
      </c>
      <c r="E255">
        <v>276.5</v>
      </c>
      <c r="F255">
        <v>2000</v>
      </c>
      <c r="G255">
        <v>500</v>
      </c>
      <c r="J255" t="s">
        <v>37</v>
      </c>
      <c r="K255" t="s">
        <v>31</v>
      </c>
      <c r="L255" t="s">
        <v>35</v>
      </c>
      <c r="M255" t="s">
        <v>19</v>
      </c>
      <c r="N255">
        <v>9</v>
      </c>
      <c r="R255" t="s">
        <v>33</v>
      </c>
      <c r="S255" t="s">
        <v>43</v>
      </c>
      <c r="T255">
        <v>323.25</v>
      </c>
      <c r="U255" t="str">
        <f>_xlfn.IFNA(_xlfn.IFS(E255&gt;Dash!$D$46, "Big", E255&lt;Dash!$D$49, "Small", E255&gt;Dash!$D$47, "Good"), "Norm")</f>
        <v>Good</v>
      </c>
      <c r="V255" t="s">
        <v>13</v>
      </c>
      <c r="W255">
        <v>611.25</v>
      </c>
      <c r="X255" t="s">
        <v>48</v>
      </c>
      <c r="Y255" s="1">
        <v>45539</v>
      </c>
      <c r="Z255">
        <v>180</v>
      </c>
      <c r="AA255" t="str">
        <f>_xlfn.IFNA(_xlfn.IFS(Z255&gt;Dash!$E$46, "Big", Z255&lt;Dash!$E$49, "Small", Z255&gt;Dash!$E$47, "Good"), "Norm")</f>
        <v>Big</v>
      </c>
      <c r="AB255">
        <v>112.5</v>
      </c>
      <c r="AC255" t="str">
        <f>_xlfn.IFNA(_xlfn.IFS(AB255&gt;Dash!$F$46, "Big", AB255&lt;Dash!$F$49, "Small", AB255&gt;Dash!$F$47, "Good"), "Norm")</f>
        <v>Good</v>
      </c>
      <c r="AD255">
        <v>276.5</v>
      </c>
      <c r="AE255" t="str">
        <f>_xlfn.IFNA(_xlfn.IFS(AD255&gt;Dash!$G$46, "Big", AD255&lt;Dash!$G$49, "Small", AD255&gt;Dash!$G$47, "Good"), "Norm")</f>
        <v>Good</v>
      </c>
      <c r="AF255">
        <v>180</v>
      </c>
      <c r="AG255" t="str">
        <f>_xlfn.IFNA(_xlfn.IFS(AF255&gt;Dash!$H$46, "Big", AF255&lt;Dash!$H$49, "Small", AF255&gt;Dash!$H$47, "Good"), "Norm")</f>
        <v>Good</v>
      </c>
      <c r="AH255">
        <v>46.75</v>
      </c>
      <c r="AI255" t="str">
        <f>_xlfn.IFNA(_xlfn.IFS(AH255&gt;Dash!$I$46, "Big", AH255&lt;Dash!$I$49, "Small", AH255&gt;Dash!$I$47, "Good"), "Norm")</f>
        <v>Good</v>
      </c>
    </row>
    <row r="256" spans="1:35" x14ac:dyDescent="0.25">
      <c r="A256" s="1">
        <v>45540</v>
      </c>
      <c r="B256" t="s">
        <v>36</v>
      </c>
      <c r="C256" t="s">
        <v>33</v>
      </c>
      <c r="D256" t="s">
        <v>43</v>
      </c>
      <c r="E256">
        <v>323.25</v>
      </c>
      <c r="F256">
        <v>1000</v>
      </c>
      <c r="G256">
        <v>1000</v>
      </c>
      <c r="J256" t="s">
        <v>27</v>
      </c>
      <c r="K256" t="s">
        <v>25</v>
      </c>
      <c r="L256" t="s">
        <v>35</v>
      </c>
      <c r="M256" t="s">
        <v>19</v>
      </c>
      <c r="N256">
        <v>9</v>
      </c>
      <c r="R256" t="s">
        <v>33</v>
      </c>
      <c r="S256" t="s">
        <v>14</v>
      </c>
      <c r="T256">
        <v>542</v>
      </c>
      <c r="U256" t="str">
        <f>_xlfn.IFNA(_xlfn.IFS(E256&gt;Dash!$D$46, "Big", E256&lt;Dash!$D$49, "Small", E256&gt;Dash!$D$47, "Good"), "Norm")</f>
        <v>Good</v>
      </c>
      <c r="V256" t="s">
        <v>24</v>
      </c>
      <c r="W256">
        <v>276.5</v>
      </c>
      <c r="X256" t="s">
        <v>46</v>
      </c>
      <c r="Y256" s="1">
        <v>45540</v>
      </c>
      <c r="Z256">
        <v>122</v>
      </c>
      <c r="AA256" t="str">
        <f>_xlfn.IFNA(_xlfn.IFS(Z256&gt;Dash!$E$46, "Big", Z256&lt;Dash!$E$49, "Small", Z256&gt;Dash!$E$47, "Good"), "Norm")</f>
        <v>Good</v>
      </c>
      <c r="AB256">
        <v>114.25</v>
      </c>
      <c r="AC256" t="str">
        <f>_xlfn.IFNA(_xlfn.IFS(AB256&gt;Dash!$F$46, "Big", AB256&lt;Dash!$F$49, "Small", AB256&gt;Dash!$F$47, "Good"), "Norm")</f>
        <v>Good</v>
      </c>
      <c r="AD256">
        <v>323.25</v>
      </c>
      <c r="AE256" t="str">
        <f>_xlfn.IFNA(_xlfn.IFS(AD256&gt;Dash!$G$46, "Big", AD256&lt;Dash!$G$49, "Small", AD256&gt;Dash!$G$47, "Good"), "Norm")</f>
        <v>Big</v>
      </c>
      <c r="AF256">
        <v>183.25</v>
      </c>
      <c r="AG256" t="str">
        <f>_xlfn.IFNA(_xlfn.IFS(AF256&gt;Dash!$H$46, "Big", AF256&lt;Dash!$H$49, "Small", AF256&gt;Dash!$H$47, "Good"), "Norm")</f>
        <v>Good</v>
      </c>
      <c r="AH256">
        <v>128.5</v>
      </c>
      <c r="AI256" t="str">
        <f>_xlfn.IFNA(_xlfn.IFS(AH256&gt;Dash!$I$46, "Big", AH256&lt;Dash!$I$49, "Small", AH256&gt;Dash!$I$47, "Good"), "Norm")</f>
        <v>Big</v>
      </c>
    </row>
    <row r="257" spans="1:35" x14ac:dyDescent="0.25">
      <c r="A257" s="1">
        <v>45541</v>
      </c>
      <c r="B257" t="s">
        <v>26</v>
      </c>
      <c r="C257" t="s">
        <v>33</v>
      </c>
      <c r="D257" t="s">
        <v>14</v>
      </c>
      <c r="E257">
        <v>542</v>
      </c>
      <c r="F257">
        <v>2100</v>
      </c>
      <c r="G257">
        <v>2100</v>
      </c>
      <c r="J257" t="s">
        <v>37</v>
      </c>
      <c r="K257" t="s">
        <v>35</v>
      </c>
      <c r="L257" t="s">
        <v>42</v>
      </c>
      <c r="M257" t="s">
        <v>19</v>
      </c>
      <c r="N257">
        <v>9</v>
      </c>
      <c r="R257" t="s">
        <v>13</v>
      </c>
      <c r="S257">
        <v>1</v>
      </c>
      <c r="T257">
        <v>232.75</v>
      </c>
      <c r="U257" t="str">
        <f>_xlfn.IFNA(_xlfn.IFS(E257&gt;Dash!$D$46, "Big", E257&lt;Dash!$D$49, "Small", E257&gt;Dash!$D$47, "Good"), "Norm")</f>
        <v>Big</v>
      </c>
      <c r="V257" t="s">
        <v>33</v>
      </c>
      <c r="W257">
        <v>323.25</v>
      </c>
      <c r="X257" t="s">
        <v>43</v>
      </c>
      <c r="Y257" s="1">
        <v>45541</v>
      </c>
      <c r="Z257">
        <v>142.75</v>
      </c>
      <c r="AA257" t="str">
        <f>_xlfn.IFNA(_xlfn.IFS(Z257&gt;Dash!$E$46, "Big", Z257&lt;Dash!$E$49, "Small", Z257&gt;Dash!$E$47, "Good"), "Norm")</f>
        <v>Big</v>
      </c>
      <c r="AB257">
        <v>183</v>
      </c>
      <c r="AC257" t="str">
        <f>_xlfn.IFNA(_xlfn.IFS(AB257&gt;Dash!$F$46, "Big", AB257&lt;Dash!$F$49, "Small", AB257&gt;Dash!$F$47, "Good"), "Norm")</f>
        <v>Big</v>
      </c>
      <c r="AD257">
        <v>526.5</v>
      </c>
      <c r="AE257" t="str">
        <f>_xlfn.IFNA(_xlfn.IFS(AD257&gt;Dash!$G$46, "Big", AD257&lt;Dash!$G$49, "Small", AD257&gt;Dash!$G$47, "Good"), "Norm")</f>
        <v>Big</v>
      </c>
      <c r="AF257">
        <v>115.5</v>
      </c>
      <c r="AG257" t="str">
        <f>_xlfn.IFNA(_xlfn.IFS(AF257&gt;Dash!$H$46, "Big", AF257&lt;Dash!$H$49, "Small", AF257&gt;Dash!$H$47, "Good"), "Norm")</f>
        <v>Norm</v>
      </c>
      <c r="AH257">
        <v>120.75</v>
      </c>
      <c r="AI257" t="str">
        <f>_xlfn.IFNA(_xlfn.IFS(AH257&gt;Dash!$I$46, "Big", AH257&lt;Dash!$I$49, "Small", AH257&gt;Dash!$I$47, "Good"), "Norm")</f>
        <v>Big</v>
      </c>
    </row>
    <row r="258" spans="1:35" x14ac:dyDescent="0.25">
      <c r="A258" s="1">
        <v>45544</v>
      </c>
      <c r="B258" t="s">
        <v>23</v>
      </c>
      <c r="C258" t="s">
        <v>13</v>
      </c>
      <c r="D258">
        <v>1</v>
      </c>
      <c r="E258">
        <v>232.75</v>
      </c>
      <c r="J258" t="s">
        <v>34</v>
      </c>
      <c r="K258" t="s">
        <v>31</v>
      </c>
      <c r="L258" t="s">
        <v>32</v>
      </c>
      <c r="M258" t="s">
        <v>18</v>
      </c>
      <c r="N258">
        <v>6</v>
      </c>
      <c r="R258" t="s">
        <v>20</v>
      </c>
      <c r="S258" t="s">
        <v>28</v>
      </c>
      <c r="T258">
        <v>288.75</v>
      </c>
      <c r="U258" t="str">
        <f>_xlfn.IFNA(_xlfn.IFS(E258&gt;Dash!$D$46, "Big", E258&lt;Dash!$D$49, "Small", E258&gt;Dash!$D$47, "Good"), "Norm")</f>
        <v>Norm</v>
      </c>
      <c r="V258" t="s">
        <v>33</v>
      </c>
      <c r="W258">
        <v>542</v>
      </c>
      <c r="X258" t="s">
        <v>14</v>
      </c>
      <c r="Y258" s="1">
        <v>45544</v>
      </c>
      <c r="Z258">
        <v>198.5</v>
      </c>
      <c r="AA258" t="str">
        <f>_xlfn.IFNA(_xlfn.IFS(Z258&gt;Dash!$E$46, "Big", Z258&lt;Dash!$E$49, "Small", Z258&gt;Dash!$E$47, "Good"), "Norm")</f>
        <v>Big</v>
      </c>
      <c r="AB258">
        <v>99</v>
      </c>
      <c r="AC258" t="str">
        <f>_xlfn.IFNA(_xlfn.IFS(AB258&gt;Dash!$F$46, "Big", AB258&lt;Dash!$F$49, "Small", AB258&gt;Dash!$F$47, "Good"), "Norm")</f>
        <v>Good</v>
      </c>
      <c r="AD258">
        <v>223.5</v>
      </c>
      <c r="AE258" t="str">
        <f>_xlfn.IFNA(_xlfn.IFS(AD258&gt;Dash!$G$46, "Big", AD258&lt;Dash!$G$49, "Small", AD258&gt;Dash!$G$47, "Good"), "Norm")</f>
        <v>Good</v>
      </c>
      <c r="AF258">
        <v>163.25</v>
      </c>
      <c r="AG258" t="str">
        <f>_xlfn.IFNA(_xlfn.IFS(AF258&gt;Dash!$H$46, "Big", AF258&lt;Dash!$H$49, "Small", AF258&gt;Dash!$H$47, "Good"), "Norm")</f>
        <v>Good</v>
      </c>
      <c r="AH258">
        <v>55.75</v>
      </c>
      <c r="AI258" t="str">
        <f>_xlfn.IFNA(_xlfn.IFS(AH258&gt;Dash!$I$46, "Big", AH258&lt;Dash!$I$49, "Small", AH258&gt;Dash!$I$47, "Good"), "Norm")</f>
        <v>Good</v>
      </c>
    </row>
    <row r="259" spans="1:35" x14ac:dyDescent="0.25">
      <c r="A259" s="1">
        <v>45545</v>
      </c>
      <c r="B259" t="s">
        <v>19</v>
      </c>
      <c r="C259" t="s">
        <v>20</v>
      </c>
      <c r="D259" t="s">
        <v>28</v>
      </c>
      <c r="E259">
        <v>288.75</v>
      </c>
      <c r="F259">
        <v>1800</v>
      </c>
      <c r="G259">
        <v>1800</v>
      </c>
      <c r="J259" t="s">
        <v>29</v>
      </c>
      <c r="K259" t="s">
        <v>39</v>
      </c>
      <c r="L259" t="s">
        <v>32</v>
      </c>
      <c r="M259" t="s">
        <v>18</v>
      </c>
      <c r="N259">
        <v>6</v>
      </c>
      <c r="R259" t="s">
        <v>33</v>
      </c>
      <c r="S259" t="s">
        <v>52</v>
      </c>
      <c r="T259">
        <v>746.5</v>
      </c>
      <c r="U259" t="str">
        <f>_xlfn.IFNA(_xlfn.IFS(E259&gt;Dash!$D$46, "Big", E259&lt;Dash!$D$49, "Small", E259&gt;Dash!$D$47, "Good"), "Norm")</f>
        <v>Good</v>
      </c>
      <c r="V259" t="s">
        <v>13</v>
      </c>
      <c r="W259">
        <v>232.75</v>
      </c>
      <c r="X259">
        <v>1</v>
      </c>
      <c r="Y259" s="1">
        <v>45545</v>
      </c>
      <c r="Z259">
        <v>129.5</v>
      </c>
      <c r="AA259" t="str">
        <f>_xlfn.IFNA(_xlfn.IFS(Z259&gt;Dash!$E$46, "Big", Z259&lt;Dash!$E$49, "Small", Z259&gt;Dash!$E$47, "Good"), "Norm")</f>
        <v>Good</v>
      </c>
      <c r="AB259">
        <v>123.75</v>
      </c>
      <c r="AC259" t="str">
        <f>_xlfn.IFNA(_xlfn.IFS(AB259&gt;Dash!$F$46, "Big", AB259&lt;Dash!$F$49, "Small", AB259&gt;Dash!$F$47, "Good"), "Norm")</f>
        <v>Good</v>
      </c>
      <c r="AD259">
        <v>199.75</v>
      </c>
      <c r="AE259" t="str">
        <f>_xlfn.IFNA(_xlfn.IFS(AD259&gt;Dash!$G$46, "Big", AD259&lt;Dash!$G$49, "Small", AD259&gt;Dash!$G$47, "Good"), "Norm")</f>
        <v>Norm</v>
      </c>
      <c r="AF259">
        <v>288.75</v>
      </c>
      <c r="AG259" t="str">
        <f>_xlfn.IFNA(_xlfn.IFS(AF259&gt;Dash!$H$46, "Big", AF259&lt;Dash!$H$49, "Small", AF259&gt;Dash!$H$47, "Good"), "Norm")</f>
        <v>Big</v>
      </c>
      <c r="AH259">
        <v>44.75</v>
      </c>
      <c r="AI259" t="str">
        <f>_xlfn.IFNA(_xlfn.IFS(AH259&gt;Dash!$I$46, "Big", AH259&lt;Dash!$I$49, "Small", AH259&gt;Dash!$I$47, "Good"), "Norm")</f>
        <v>Good</v>
      </c>
    </row>
    <row r="260" spans="1:35" x14ac:dyDescent="0.25">
      <c r="A260" s="1">
        <v>45546</v>
      </c>
      <c r="B260" t="s">
        <v>18</v>
      </c>
      <c r="C260" t="s">
        <v>33</v>
      </c>
      <c r="D260" t="s">
        <v>52</v>
      </c>
      <c r="E260">
        <v>746.5</v>
      </c>
      <c r="F260">
        <v>900</v>
      </c>
      <c r="G260">
        <v>900</v>
      </c>
      <c r="H260">
        <v>1000</v>
      </c>
      <c r="I260">
        <v>1000</v>
      </c>
      <c r="J260" t="s">
        <v>27</v>
      </c>
      <c r="K260" t="s">
        <v>25</v>
      </c>
      <c r="L260" t="s">
        <v>32</v>
      </c>
      <c r="M260" t="s">
        <v>18</v>
      </c>
      <c r="N260">
        <v>6</v>
      </c>
      <c r="R260" t="s">
        <v>33</v>
      </c>
      <c r="S260" t="s">
        <v>28</v>
      </c>
      <c r="T260">
        <v>298.5</v>
      </c>
      <c r="U260" t="str">
        <f>_xlfn.IFNA(_xlfn.IFS(E260&gt;Dash!$D$46, "Big", E260&lt;Dash!$D$49, "Small", E260&gt;Dash!$D$47, "Good"), "Norm")</f>
        <v>Big</v>
      </c>
      <c r="V260" t="s">
        <v>20</v>
      </c>
      <c r="W260">
        <v>288.75</v>
      </c>
      <c r="X260" t="s">
        <v>28</v>
      </c>
      <c r="Y260" s="1">
        <v>45546</v>
      </c>
      <c r="Z260">
        <v>152</v>
      </c>
      <c r="AA260" t="str">
        <f>_xlfn.IFNA(_xlfn.IFS(Z260&gt;Dash!$E$46, "Big", Z260&lt;Dash!$E$49, "Small", Z260&gt;Dash!$E$47, "Good"), "Norm")</f>
        <v>Big</v>
      </c>
      <c r="AB260">
        <v>94.5</v>
      </c>
      <c r="AC260" t="str">
        <f>_xlfn.IFNA(_xlfn.IFS(AB260&gt;Dash!$F$46, "Big", AB260&lt;Dash!$F$49, "Small", AB260&gt;Dash!$F$47, "Good"), "Norm")</f>
        <v>Norm</v>
      </c>
      <c r="AD260">
        <v>380.5</v>
      </c>
      <c r="AE260" t="str">
        <f>_xlfn.IFNA(_xlfn.IFS(AD260&gt;Dash!$G$46, "Big", AD260&lt;Dash!$G$49, "Small", AD260&gt;Dash!$G$47, "Good"), "Norm")</f>
        <v>Big</v>
      </c>
      <c r="AF260">
        <v>509.5</v>
      </c>
      <c r="AG260" t="str">
        <f>_xlfn.IFNA(_xlfn.IFS(AF260&gt;Dash!$H$46, "Big", AF260&lt;Dash!$H$49, "Small", AF260&gt;Dash!$H$47, "Good"), "Norm")</f>
        <v>Big</v>
      </c>
      <c r="AH260">
        <v>39.5</v>
      </c>
      <c r="AI260" t="str">
        <f>_xlfn.IFNA(_xlfn.IFS(AH260&gt;Dash!$I$46, "Big", AH260&lt;Dash!$I$49, "Small", AH260&gt;Dash!$I$47, "Good"), "Norm")</f>
        <v>Good</v>
      </c>
    </row>
    <row r="261" spans="1:35" x14ac:dyDescent="0.25">
      <c r="A261" s="1">
        <v>45547</v>
      </c>
      <c r="B261" t="s">
        <v>36</v>
      </c>
      <c r="C261" t="s">
        <v>33</v>
      </c>
      <c r="D261" t="s">
        <v>28</v>
      </c>
      <c r="E261">
        <v>298.5</v>
      </c>
      <c r="F261">
        <v>2100</v>
      </c>
      <c r="G261">
        <v>2100</v>
      </c>
      <c r="J261" t="s">
        <v>29</v>
      </c>
      <c r="K261" t="s">
        <v>25</v>
      </c>
      <c r="L261" t="s">
        <v>35</v>
      </c>
      <c r="M261" t="s">
        <v>18</v>
      </c>
      <c r="N261">
        <v>6</v>
      </c>
      <c r="R261" t="s">
        <v>33</v>
      </c>
      <c r="S261" t="s">
        <v>28</v>
      </c>
      <c r="T261">
        <v>179</v>
      </c>
      <c r="U261" t="str">
        <f>_xlfn.IFNA(_xlfn.IFS(E261&gt;Dash!$D$46, "Big", E261&lt;Dash!$D$49, "Small", E261&gt;Dash!$D$47, "Good"), "Norm")</f>
        <v>Good</v>
      </c>
      <c r="V261" t="s">
        <v>33</v>
      </c>
      <c r="W261">
        <v>746.5</v>
      </c>
      <c r="X261" t="s">
        <v>52</v>
      </c>
      <c r="Y261" s="1">
        <v>45547</v>
      </c>
      <c r="Z261">
        <v>103</v>
      </c>
      <c r="AA261" t="str">
        <f>_xlfn.IFNA(_xlfn.IFS(Z261&gt;Dash!$E$46, "Big", Z261&lt;Dash!$E$49, "Small", Z261&gt;Dash!$E$47, "Good"), "Norm")</f>
        <v>Good</v>
      </c>
      <c r="AB261">
        <v>83</v>
      </c>
      <c r="AC261" t="str">
        <f>_xlfn.IFNA(_xlfn.IFS(AB261&gt;Dash!$F$46, "Big", AB261&lt;Dash!$F$49, "Small", AB261&gt;Dash!$F$47, "Good"), "Norm")</f>
        <v>Norm</v>
      </c>
      <c r="AD261">
        <v>203.75</v>
      </c>
      <c r="AE261" t="str">
        <f>_xlfn.IFNA(_xlfn.IFS(AD261&gt;Dash!$G$46, "Big", AD261&lt;Dash!$G$49, "Small", AD261&gt;Dash!$G$47, "Good"), "Norm")</f>
        <v>Good</v>
      </c>
      <c r="AF261">
        <v>225.5</v>
      </c>
      <c r="AG261" t="str">
        <f>_xlfn.IFNA(_xlfn.IFS(AF261&gt;Dash!$H$46, "Big", AF261&lt;Dash!$H$49, "Small", AF261&gt;Dash!$H$47, "Good"), "Norm")</f>
        <v>Good</v>
      </c>
      <c r="AH261">
        <v>57.5</v>
      </c>
      <c r="AI261" t="str">
        <f>_xlfn.IFNA(_xlfn.IFS(AH261&gt;Dash!$I$46, "Big", AH261&lt;Dash!$I$49, "Small", AH261&gt;Dash!$I$47, "Good"), "Norm")</f>
        <v>Good</v>
      </c>
    </row>
    <row r="262" spans="1:35" x14ac:dyDescent="0.25">
      <c r="A262" s="1">
        <v>45548</v>
      </c>
      <c r="B262" t="s">
        <v>26</v>
      </c>
      <c r="C262" t="s">
        <v>33</v>
      </c>
      <c r="D262" t="s">
        <v>28</v>
      </c>
      <c r="E262">
        <v>179</v>
      </c>
      <c r="F262">
        <v>100</v>
      </c>
      <c r="G262">
        <v>100</v>
      </c>
      <c r="J262" t="s">
        <v>29</v>
      </c>
      <c r="K262" t="s">
        <v>25</v>
      </c>
      <c r="L262" t="s">
        <v>32</v>
      </c>
      <c r="M262" t="s">
        <v>18</v>
      </c>
      <c r="N262">
        <v>6</v>
      </c>
      <c r="R262" t="s">
        <v>24</v>
      </c>
      <c r="S262" t="s">
        <v>51</v>
      </c>
      <c r="T262">
        <v>168.5</v>
      </c>
      <c r="U262" t="str">
        <f>_xlfn.IFNA(_xlfn.IFS(E262&gt;Dash!$D$46, "Big", E262&lt;Dash!$D$49, "Small", E262&gt;Dash!$D$47, "Good"), "Norm")</f>
        <v>Norm</v>
      </c>
      <c r="V262" t="s">
        <v>33</v>
      </c>
      <c r="W262">
        <v>298.5</v>
      </c>
      <c r="X262" t="s">
        <v>28</v>
      </c>
      <c r="Y262" s="1">
        <v>45548</v>
      </c>
      <c r="Z262">
        <v>75.25</v>
      </c>
      <c r="AA262" t="str">
        <f>_xlfn.IFNA(_xlfn.IFS(Z262&gt;Dash!$E$46, "Big", Z262&lt;Dash!$E$49, "Small", Z262&gt;Dash!$E$47, "Good"), "Norm")</f>
        <v>Norm</v>
      </c>
      <c r="AB262">
        <v>53.5</v>
      </c>
      <c r="AC262" t="str">
        <f>_xlfn.IFNA(_xlfn.IFS(AB262&gt;Dash!$F$46, "Big", AB262&lt;Dash!$F$49, "Small", AB262&gt;Dash!$F$47, "Good"), "Norm")</f>
        <v>Small</v>
      </c>
      <c r="AD262">
        <v>145.75</v>
      </c>
      <c r="AE262" t="str">
        <f>_xlfn.IFNA(_xlfn.IFS(AD262&gt;Dash!$G$46, "Big", AD262&lt;Dash!$G$49, "Small", AD262&gt;Dash!$G$47, "Good"), "Norm")</f>
        <v>Norm</v>
      </c>
      <c r="AF262">
        <v>99.25</v>
      </c>
      <c r="AG262" t="str">
        <f>_xlfn.IFNA(_xlfn.IFS(AF262&gt;Dash!$H$46, "Big", AF262&lt;Dash!$H$49, "Small", AF262&gt;Dash!$H$47, "Good"), "Norm")</f>
        <v>Norm</v>
      </c>
      <c r="AH262">
        <v>27.75</v>
      </c>
      <c r="AI262" t="str">
        <f>_xlfn.IFNA(_xlfn.IFS(AH262&gt;Dash!$I$46, "Big", AH262&lt;Dash!$I$49, "Small", AH262&gt;Dash!$I$47, "Good"), "Norm")</f>
        <v>Norm</v>
      </c>
    </row>
    <row r="263" spans="1:35" x14ac:dyDescent="0.25">
      <c r="A263" s="1">
        <v>45551</v>
      </c>
      <c r="B263" t="s">
        <v>23</v>
      </c>
      <c r="C263" t="s">
        <v>24</v>
      </c>
      <c r="D263" t="s">
        <v>51</v>
      </c>
      <c r="E263">
        <v>168.5</v>
      </c>
      <c r="F263">
        <v>1800</v>
      </c>
      <c r="G263">
        <v>1100</v>
      </c>
      <c r="J263" t="s">
        <v>29</v>
      </c>
      <c r="K263" t="s">
        <v>16</v>
      </c>
      <c r="L263" t="s">
        <v>25</v>
      </c>
      <c r="M263" t="s">
        <v>19</v>
      </c>
      <c r="N263">
        <v>7</v>
      </c>
      <c r="R263" t="s">
        <v>33</v>
      </c>
      <c r="S263" t="s">
        <v>28</v>
      </c>
      <c r="T263">
        <v>275.75</v>
      </c>
      <c r="U263" t="str">
        <f>_xlfn.IFNA(_xlfn.IFS(E263&gt;Dash!$D$46, "Big", E263&lt;Dash!$D$49, "Small", E263&gt;Dash!$D$47, "Good"), "Norm")</f>
        <v>Norm</v>
      </c>
      <c r="V263" t="s">
        <v>33</v>
      </c>
      <c r="W263">
        <v>179</v>
      </c>
      <c r="X263" t="s">
        <v>28</v>
      </c>
      <c r="Y263" s="1">
        <v>45551</v>
      </c>
      <c r="Z263">
        <v>69.5</v>
      </c>
      <c r="AA263" t="str">
        <f>_xlfn.IFNA(_xlfn.IFS(Z263&gt;Dash!$E$46, "Big", Z263&lt;Dash!$E$49, "Small", Z263&gt;Dash!$E$47, "Good"), "Norm")</f>
        <v>Norm</v>
      </c>
      <c r="AB263">
        <v>101.25</v>
      </c>
      <c r="AC263" t="str">
        <f>_xlfn.IFNA(_xlfn.IFS(AB263&gt;Dash!$F$46, "Big", AB263&lt;Dash!$F$49, "Small", AB263&gt;Dash!$F$47, "Good"), "Norm")</f>
        <v>Good</v>
      </c>
      <c r="AD263">
        <v>168.5</v>
      </c>
      <c r="AE263" t="str">
        <f>_xlfn.IFNA(_xlfn.IFS(AD263&gt;Dash!$G$46, "Big", AD263&lt;Dash!$G$49, "Small", AD263&gt;Dash!$G$47, "Good"), "Norm")</f>
        <v>Norm</v>
      </c>
      <c r="AF263">
        <v>140.5</v>
      </c>
      <c r="AG263" t="str">
        <f>_xlfn.IFNA(_xlfn.IFS(AF263&gt;Dash!$H$46, "Big", AF263&lt;Dash!$H$49, "Small", AF263&gt;Dash!$H$47, "Good"), "Norm")</f>
        <v>Norm</v>
      </c>
      <c r="AH263">
        <v>24</v>
      </c>
      <c r="AI263" t="str">
        <f>_xlfn.IFNA(_xlfn.IFS(AH263&gt;Dash!$I$46, "Big", AH263&lt;Dash!$I$49, "Small", AH263&gt;Dash!$I$47, "Good"), "Norm")</f>
        <v>Norm</v>
      </c>
    </row>
    <row r="264" spans="1:35" x14ac:dyDescent="0.25">
      <c r="A264" s="1">
        <v>45552</v>
      </c>
      <c r="B264" t="s">
        <v>19</v>
      </c>
      <c r="C264" t="s">
        <v>33</v>
      </c>
      <c r="D264" t="s">
        <v>28</v>
      </c>
      <c r="E264">
        <v>275.75</v>
      </c>
      <c r="F264">
        <v>500</v>
      </c>
      <c r="G264">
        <v>500</v>
      </c>
      <c r="J264" t="s">
        <v>30</v>
      </c>
      <c r="K264" t="s">
        <v>35</v>
      </c>
      <c r="L264" t="s">
        <v>17</v>
      </c>
      <c r="M264" t="s">
        <v>19</v>
      </c>
      <c r="N264">
        <v>7</v>
      </c>
      <c r="R264" t="s">
        <v>33</v>
      </c>
      <c r="S264" t="s">
        <v>48</v>
      </c>
      <c r="T264">
        <v>342</v>
      </c>
      <c r="U264" t="str">
        <f>_xlfn.IFNA(_xlfn.IFS(E264&gt;Dash!$D$46, "Big", E264&lt;Dash!$D$49, "Small", E264&gt;Dash!$D$47, "Good"), "Norm")</f>
        <v>Good</v>
      </c>
      <c r="V264" t="s">
        <v>24</v>
      </c>
      <c r="W264">
        <v>168.5</v>
      </c>
      <c r="X264" t="s">
        <v>51</v>
      </c>
      <c r="Y264" s="1">
        <v>45552</v>
      </c>
      <c r="Z264">
        <v>62.5</v>
      </c>
      <c r="AA264" t="str">
        <f>_xlfn.IFNA(_xlfn.IFS(Z264&gt;Dash!$E$46, "Big", Z264&lt;Dash!$E$49, "Small", Z264&gt;Dash!$E$47, "Good"), "Norm")</f>
        <v>Norm</v>
      </c>
      <c r="AB264">
        <v>127.5</v>
      </c>
      <c r="AC264" t="str">
        <f>_xlfn.IFNA(_xlfn.IFS(AB264&gt;Dash!$F$46, "Big", AB264&lt;Dash!$F$49, "Small", AB264&gt;Dash!$F$47, "Good"), "Norm")</f>
        <v>Good</v>
      </c>
      <c r="AD264">
        <v>141.25</v>
      </c>
      <c r="AE264" t="str">
        <f>_xlfn.IFNA(_xlfn.IFS(AD264&gt;Dash!$G$46, "Big", AD264&lt;Dash!$G$49, "Small", AD264&gt;Dash!$G$47, "Good"), "Norm")</f>
        <v>Norm</v>
      </c>
      <c r="AF264">
        <v>210.5</v>
      </c>
      <c r="AG264" t="str">
        <f>_xlfn.IFNA(_xlfn.IFS(AF264&gt;Dash!$H$46, "Big", AF264&lt;Dash!$H$49, "Small", AF264&gt;Dash!$H$47, "Good"), "Norm")</f>
        <v>Good</v>
      </c>
      <c r="AH264">
        <v>29.5</v>
      </c>
      <c r="AI264" t="str">
        <f>_xlfn.IFNA(_xlfn.IFS(AH264&gt;Dash!$I$46, "Big", AH264&lt;Dash!$I$49, "Small", AH264&gt;Dash!$I$47, "Good"), "Norm")</f>
        <v>Norm</v>
      </c>
    </row>
    <row r="265" spans="1:35" x14ac:dyDescent="0.25">
      <c r="A265" s="1">
        <v>45553</v>
      </c>
      <c r="B265" t="s">
        <v>18</v>
      </c>
      <c r="C265" t="s">
        <v>33</v>
      </c>
      <c r="D265" t="s">
        <v>48</v>
      </c>
      <c r="E265">
        <v>342</v>
      </c>
      <c r="F265">
        <v>1400</v>
      </c>
      <c r="G265">
        <v>1500</v>
      </c>
      <c r="J265" t="s">
        <v>49</v>
      </c>
      <c r="K265" t="s">
        <v>32</v>
      </c>
      <c r="L265" t="s">
        <v>17</v>
      </c>
      <c r="M265" t="s">
        <v>19</v>
      </c>
      <c r="N265">
        <v>7</v>
      </c>
      <c r="R265" t="s">
        <v>13</v>
      </c>
      <c r="S265" t="s">
        <v>28</v>
      </c>
      <c r="T265">
        <v>239</v>
      </c>
      <c r="U265" t="str">
        <f>_xlfn.IFNA(_xlfn.IFS(E265&gt;Dash!$D$46, "Big", E265&lt;Dash!$D$49, "Small", E265&gt;Dash!$D$47, "Good"), "Norm")</f>
        <v>Good</v>
      </c>
      <c r="V265" t="s">
        <v>33</v>
      </c>
      <c r="W265">
        <v>275.75</v>
      </c>
      <c r="X265" t="s">
        <v>28</v>
      </c>
      <c r="Y265" s="1">
        <v>45553</v>
      </c>
      <c r="Z265">
        <v>45.5</v>
      </c>
      <c r="AA265" t="str">
        <f>_xlfn.IFNA(_xlfn.IFS(Z265&gt;Dash!$E$46, "Big", Z265&lt;Dash!$E$49, "Small", Z265&gt;Dash!$E$47, "Good"), "Norm")</f>
        <v>Norm</v>
      </c>
      <c r="AB265">
        <v>72</v>
      </c>
      <c r="AC265" t="str">
        <f>_xlfn.IFNA(_xlfn.IFS(AB265&gt;Dash!$F$46, "Big", AB265&lt;Dash!$F$49, "Small", AB265&gt;Dash!$F$47, "Good"), "Norm")</f>
        <v>Norm</v>
      </c>
      <c r="AD265">
        <v>150.25</v>
      </c>
      <c r="AE265" t="str">
        <f>_xlfn.IFNA(_xlfn.IFS(AD265&gt;Dash!$G$46, "Big", AD265&lt;Dash!$G$49, "Small", AD265&gt;Dash!$G$47, "Good"), "Norm")</f>
        <v>Norm</v>
      </c>
      <c r="AF265">
        <v>342</v>
      </c>
      <c r="AG265" t="str">
        <f>_xlfn.IFNA(_xlfn.IFS(AF265&gt;Dash!$H$46, "Big", AF265&lt;Dash!$H$49, "Small", AF265&gt;Dash!$H$47, "Good"), "Norm")</f>
        <v>Big</v>
      </c>
      <c r="AH265">
        <v>96.25</v>
      </c>
      <c r="AI265" t="str">
        <f>_xlfn.IFNA(_xlfn.IFS(AH265&gt;Dash!$I$46, "Big", AH265&lt;Dash!$I$49, "Small", AH265&gt;Dash!$I$47, "Good"), "Norm")</f>
        <v>Big</v>
      </c>
    </row>
    <row r="266" spans="1:35" x14ac:dyDescent="0.25">
      <c r="A266" s="1">
        <v>45554</v>
      </c>
      <c r="B266" t="s">
        <v>36</v>
      </c>
      <c r="C266" t="s">
        <v>13</v>
      </c>
      <c r="D266" t="s">
        <v>28</v>
      </c>
      <c r="E266">
        <v>239</v>
      </c>
      <c r="F266">
        <v>200</v>
      </c>
      <c r="J266" t="s">
        <v>30</v>
      </c>
      <c r="K266" t="s">
        <v>31</v>
      </c>
      <c r="L266" t="s">
        <v>32</v>
      </c>
      <c r="M266" t="s">
        <v>19</v>
      </c>
      <c r="N266">
        <v>7</v>
      </c>
      <c r="R266" t="s">
        <v>33</v>
      </c>
      <c r="S266">
        <v>1</v>
      </c>
      <c r="T266">
        <v>224</v>
      </c>
      <c r="U266" t="str">
        <f>_xlfn.IFNA(_xlfn.IFS(E266&gt;Dash!$D$46, "Big", E266&lt;Dash!$D$49, "Small", E266&gt;Dash!$D$47, "Good"), "Norm")</f>
        <v>Norm</v>
      </c>
      <c r="V266" t="s">
        <v>33</v>
      </c>
      <c r="W266">
        <v>342</v>
      </c>
      <c r="X266" t="s">
        <v>48</v>
      </c>
      <c r="Y266" s="1">
        <v>45554</v>
      </c>
      <c r="Z266">
        <v>254.75</v>
      </c>
      <c r="AA266" t="str">
        <f>_xlfn.IFNA(_xlfn.IFS(Z266&gt;Dash!$E$46, "Big", Z266&lt;Dash!$E$49, "Small", Z266&gt;Dash!$E$47, "Good"), "Norm")</f>
        <v>Big</v>
      </c>
      <c r="AB266">
        <v>155</v>
      </c>
      <c r="AC266" t="str">
        <f>_xlfn.IFNA(_xlfn.IFS(AB266&gt;Dash!$F$46, "Big", AB266&lt;Dash!$F$49, "Small", AB266&gt;Dash!$F$47, "Good"), "Norm")</f>
        <v>Good</v>
      </c>
      <c r="AD266">
        <v>194.5</v>
      </c>
      <c r="AE266" t="str">
        <f>_xlfn.IFNA(_xlfn.IFS(AD266&gt;Dash!$G$46, "Big", AD266&lt;Dash!$G$49, "Small", AD266&gt;Dash!$G$47, "Good"), "Norm")</f>
        <v>Norm</v>
      </c>
      <c r="AF266">
        <v>139</v>
      </c>
      <c r="AG266" t="str">
        <f>_xlfn.IFNA(_xlfn.IFS(AF266&gt;Dash!$H$46, "Big", AF266&lt;Dash!$H$49, "Small", AF266&gt;Dash!$H$47, "Good"), "Norm")</f>
        <v>Norm</v>
      </c>
      <c r="AH266">
        <v>41.25</v>
      </c>
      <c r="AI266" t="str">
        <f>_xlfn.IFNA(_xlfn.IFS(AH266&gt;Dash!$I$46, "Big", AH266&lt;Dash!$I$49, "Small", AH266&gt;Dash!$I$47, "Good"), "Norm")</f>
        <v>Good</v>
      </c>
    </row>
    <row r="267" spans="1:35" x14ac:dyDescent="0.25">
      <c r="A267" s="1">
        <v>45555</v>
      </c>
      <c r="B267" t="s">
        <v>26</v>
      </c>
      <c r="C267" t="s">
        <v>33</v>
      </c>
      <c r="D267">
        <v>1</v>
      </c>
      <c r="E267">
        <v>224</v>
      </c>
      <c r="J267" t="s">
        <v>34</v>
      </c>
      <c r="K267" t="s">
        <v>25</v>
      </c>
      <c r="L267" t="s">
        <v>32</v>
      </c>
      <c r="M267" t="s">
        <v>19</v>
      </c>
      <c r="N267">
        <v>7</v>
      </c>
      <c r="O267" t="s">
        <v>67</v>
      </c>
      <c r="R267">
        <v>0</v>
      </c>
      <c r="S267" t="s">
        <v>28</v>
      </c>
      <c r="T267">
        <v>108</v>
      </c>
      <c r="U267" t="str">
        <f>_xlfn.IFNA(_xlfn.IFS(E267&gt;Dash!$D$46, "Big", E267&lt;Dash!$D$49, "Small", E267&gt;Dash!$D$47, "Good"), "Norm")</f>
        <v>Norm</v>
      </c>
      <c r="V267" t="s">
        <v>13</v>
      </c>
      <c r="W267">
        <v>239</v>
      </c>
      <c r="X267" t="s">
        <v>28</v>
      </c>
      <c r="Y267" s="1">
        <v>45555</v>
      </c>
      <c r="Z267">
        <v>53.5</v>
      </c>
      <c r="AA267" t="str">
        <f>_xlfn.IFNA(_xlfn.IFS(Z267&gt;Dash!$E$46, "Big", Z267&lt;Dash!$E$49, "Small", Z267&gt;Dash!$E$47, "Good"), "Norm")</f>
        <v>Norm</v>
      </c>
      <c r="AB267">
        <v>88.75</v>
      </c>
      <c r="AC267" t="str">
        <f>_xlfn.IFNA(_xlfn.IFS(AB267&gt;Dash!$F$46, "Big", AB267&lt;Dash!$F$49, "Small", AB267&gt;Dash!$F$47, "Good"), "Norm")</f>
        <v>Norm</v>
      </c>
      <c r="AD267">
        <v>222.5</v>
      </c>
      <c r="AE267" t="str">
        <f>_xlfn.IFNA(_xlfn.IFS(AD267&gt;Dash!$G$46, "Big", AD267&lt;Dash!$G$49, "Small", AD267&gt;Dash!$G$47, "Good"), "Norm")</f>
        <v>Good</v>
      </c>
      <c r="AF267">
        <v>149.75</v>
      </c>
      <c r="AG267" t="str">
        <f>_xlfn.IFNA(_xlfn.IFS(AF267&gt;Dash!$H$46, "Big", AF267&lt;Dash!$H$49, "Small", AF267&gt;Dash!$H$47, "Good"), "Norm")</f>
        <v>Norm</v>
      </c>
      <c r="AH267">
        <v>41.75</v>
      </c>
      <c r="AI267" t="str">
        <f>_xlfn.IFNA(_xlfn.IFS(AH267&gt;Dash!$I$46, "Big", AH267&lt;Dash!$I$49, "Small", AH267&gt;Dash!$I$47, "Good"), "Norm")</f>
        <v>Good</v>
      </c>
    </row>
    <row r="268" spans="1:35" x14ac:dyDescent="0.25">
      <c r="A268" s="1">
        <v>45558</v>
      </c>
      <c r="B268" t="s">
        <v>23</v>
      </c>
      <c r="D268" t="s">
        <v>28</v>
      </c>
      <c r="E268">
        <v>108</v>
      </c>
      <c r="F268">
        <v>2000</v>
      </c>
      <c r="G268">
        <v>300</v>
      </c>
      <c r="J268" t="s">
        <v>29</v>
      </c>
      <c r="K268" t="s">
        <v>16</v>
      </c>
      <c r="L268" t="s">
        <v>50</v>
      </c>
      <c r="M268" t="s">
        <v>23</v>
      </c>
      <c r="N268">
        <v>7</v>
      </c>
      <c r="R268" t="s">
        <v>33</v>
      </c>
      <c r="S268" t="s">
        <v>28</v>
      </c>
      <c r="T268">
        <v>261.75</v>
      </c>
      <c r="U268" t="str">
        <f>_xlfn.IFNA(_xlfn.IFS(E268&gt;Dash!$D$46, "Big", E268&lt;Dash!$D$49, "Small", E268&gt;Dash!$D$47, "Good"), "Norm")</f>
        <v>Small</v>
      </c>
      <c r="V268" t="s">
        <v>33</v>
      </c>
      <c r="W268">
        <v>224</v>
      </c>
      <c r="X268">
        <v>1</v>
      </c>
      <c r="Y268" s="1">
        <v>45558</v>
      </c>
      <c r="Z268">
        <v>167.75</v>
      </c>
      <c r="AA268" t="str">
        <f>_xlfn.IFNA(_xlfn.IFS(Z268&gt;Dash!$E$46, "Big", Z268&lt;Dash!$E$49, "Small", Z268&gt;Dash!$E$47, "Good"), "Norm")</f>
        <v>Big</v>
      </c>
      <c r="AB268">
        <v>153</v>
      </c>
      <c r="AC268" t="str">
        <f>_xlfn.IFNA(_xlfn.IFS(AB268&gt;Dash!$F$46, "Big", AB268&lt;Dash!$F$49, "Small", AB268&gt;Dash!$F$47, "Good"), "Norm")</f>
        <v>Good</v>
      </c>
      <c r="AD268">
        <v>95.5</v>
      </c>
      <c r="AE268" t="str">
        <f>_xlfn.IFNA(_xlfn.IFS(AD268&gt;Dash!$G$46, "Big", AD268&lt;Dash!$G$49, "Small", AD268&gt;Dash!$G$47, "Good"), "Norm")</f>
        <v>Small</v>
      </c>
      <c r="AF268">
        <v>89.25</v>
      </c>
      <c r="AG268" t="str">
        <f>_xlfn.IFNA(_xlfn.IFS(AF268&gt;Dash!$H$46, "Big", AF268&lt;Dash!$H$49, "Small", AF268&gt;Dash!$H$47, "Good"), "Norm")</f>
        <v>Small</v>
      </c>
      <c r="AH268">
        <v>30.75</v>
      </c>
      <c r="AI268" t="str">
        <f>_xlfn.IFNA(_xlfn.IFS(AH268&gt;Dash!$I$46, "Big", AH268&lt;Dash!$I$49, "Small", AH268&gt;Dash!$I$47, "Good"), "Norm")</f>
        <v>Norm</v>
      </c>
    </row>
    <row r="269" spans="1:35" x14ac:dyDescent="0.25">
      <c r="A269" s="1">
        <v>45559</v>
      </c>
      <c r="B269" t="s">
        <v>19</v>
      </c>
      <c r="C269" t="s">
        <v>33</v>
      </c>
      <c r="D269" t="s">
        <v>28</v>
      </c>
      <c r="E269">
        <v>261.75</v>
      </c>
      <c r="F269">
        <v>400</v>
      </c>
      <c r="G269">
        <v>500</v>
      </c>
      <c r="J269" t="s">
        <v>30</v>
      </c>
      <c r="K269" t="s">
        <v>25</v>
      </c>
      <c r="L269" t="s">
        <v>35</v>
      </c>
      <c r="M269" t="s">
        <v>23</v>
      </c>
      <c r="N269">
        <v>7</v>
      </c>
      <c r="R269" t="s">
        <v>41</v>
      </c>
      <c r="S269" t="s">
        <v>43</v>
      </c>
      <c r="T269">
        <v>146</v>
      </c>
      <c r="U269" t="str">
        <f>_xlfn.IFNA(_xlfn.IFS(E269&gt;Dash!$D$46, "Big", E269&lt;Dash!$D$49, "Small", E269&gt;Dash!$D$47, "Good"), "Norm")</f>
        <v>Good</v>
      </c>
      <c r="V269">
        <v>0</v>
      </c>
      <c r="W269">
        <v>108</v>
      </c>
      <c r="X269" t="s">
        <v>28</v>
      </c>
      <c r="Y269" s="1">
        <v>45559</v>
      </c>
      <c r="Z269">
        <v>87.5</v>
      </c>
      <c r="AA269" t="str">
        <f>_xlfn.IFNA(_xlfn.IFS(Z269&gt;Dash!$E$46, "Big", Z269&lt;Dash!$E$49, "Small", Z269&gt;Dash!$E$47, "Good"), "Norm")</f>
        <v>Good</v>
      </c>
      <c r="AB269">
        <v>128.5</v>
      </c>
      <c r="AC269" t="str">
        <f>_xlfn.IFNA(_xlfn.IFS(AB269&gt;Dash!$F$46, "Big", AB269&lt;Dash!$F$49, "Small", AB269&gt;Dash!$F$47, "Good"), "Norm")</f>
        <v>Good</v>
      </c>
      <c r="AD269">
        <v>261.75</v>
      </c>
      <c r="AE269" t="str">
        <f>_xlfn.IFNA(_xlfn.IFS(AD269&gt;Dash!$G$46, "Big", AD269&lt;Dash!$G$49, "Small", AD269&gt;Dash!$G$47, "Good"), "Norm")</f>
        <v>Good</v>
      </c>
      <c r="AF269">
        <v>105.5</v>
      </c>
      <c r="AG269" t="str">
        <f>_xlfn.IFNA(_xlfn.IFS(AF269&gt;Dash!$H$46, "Big", AF269&lt;Dash!$H$49, "Small", AF269&gt;Dash!$H$47, "Good"), "Norm")</f>
        <v>Norm</v>
      </c>
      <c r="AH269">
        <v>27.25</v>
      </c>
      <c r="AI269" t="str">
        <f>_xlfn.IFNA(_xlfn.IFS(AH269&gt;Dash!$I$46, "Big", AH269&lt;Dash!$I$49, "Small", AH269&gt;Dash!$I$47, "Good"), "Norm")</f>
        <v>Norm</v>
      </c>
    </row>
    <row r="270" spans="1:35" x14ac:dyDescent="0.25">
      <c r="A270" s="1">
        <v>45560</v>
      </c>
      <c r="B270" t="s">
        <v>18</v>
      </c>
      <c r="C270" t="s">
        <v>41</v>
      </c>
      <c r="D270" t="s">
        <v>43</v>
      </c>
      <c r="E270">
        <v>146</v>
      </c>
      <c r="F270">
        <v>900</v>
      </c>
      <c r="G270">
        <v>1100</v>
      </c>
      <c r="J270" t="s">
        <v>27</v>
      </c>
      <c r="K270" t="s">
        <v>39</v>
      </c>
      <c r="L270" t="s">
        <v>35</v>
      </c>
      <c r="M270" t="s">
        <v>23</v>
      </c>
      <c r="N270">
        <v>7</v>
      </c>
      <c r="R270" t="s">
        <v>33</v>
      </c>
      <c r="S270" t="s">
        <v>28</v>
      </c>
      <c r="T270">
        <v>350</v>
      </c>
      <c r="U270" t="str">
        <f>_xlfn.IFNA(_xlfn.IFS(E270&gt;Dash!$D$46, "Big", E270&lt;Dash!$D$49, "Small", E270&gt;Dash!$D$47, "Good"), "Norm")</f>
        <v>Small</v>
      </c>
      <c r="V270" t="s">
        <v>33</v>
      </c>
      <c r="W270">
        <v>261.75</v>
      </c>
      <c r="X270" t="s">
        <v>28</v>
      </c>
      <c r="Y270" s="1">
        <v>45560</v>
      </c>
      <c r="Z270">
        <v>104.25</v>
      </c>
      <c r="AA270" t="str">
        <f>_xlfn.IFNA(_xlfn.IFS(Z270&gt;Dash!$E$46, "Big", Z270&lt;Dash!$E$49, "Small", Z270&gt;Dash!$E$47, "Good"), "Norm")</f>
        <v>Good</v>
      </c>
      <c r="AB270">
        <v>77.25</v>
      </c>
      <c r="AC270" t="str">
        <f>_xlfn.IFNA(_xlfn.IFS(AB270&gt;Dash!$F$46, "Big", AB270&lt;Dash!$F$49, "Small", AB270&gt;Dash!$F$47, "Good"), "Norm")</f>
        <v>Norm</v>
      </c>
      <c r="AD270">
        <v>146</v>
      </c>
      <c r="AE270" t="str">
        <f>_xlfn.IFNA(_xlfn.IFS(AD270&gt;Dash!$G$46, "Big", AD270&lt;Dash!$G$49, "Small", AD270&gt;Dash!$G$47, "Good"), "Norm")</f>
        <v>Norm</v>
      </c>
      <c r="AF270">
        <v>80.5</v>
      </c>
      <c r="AG270" t="str">
        <f>_xlfn.IFNA(_xlfn.IFS(AF270&gt;Dash!$H$46, "Big", AF270&lt;Dash!$H$49, "Small", AF270&gt;Dash!$H$47, "Good"), "Norm")</f>
        <v>Small</v>
      </c>
      <c r="AH270">
        <v>56.75</v>
      </c>
      <c r="AI270" t="str">
        <f>_xlfn.IFNA(_xlfn.IFS(AH270&gt;Dash!$I$46, "Big", AH270&lt;Dash!$I$49, "Small", AH270&gt;Dash!$I$47, "Good"), "Norm")</f>
        <v>Good</v>
      </c>
    </row>
    <row r="271" spans="1:35" x14ac:dyDescent="0.25">
      <c r="A271" s="1">
        <v>45561</v>
      </c>
      <c r="B271" t="s">
        <v>36</v>
      </c>
      <c r="C271" t="s">
        <v>33</v>
      </c>
      <c r="D271" t="s">
        <v>28</v>
      </c>
      <c r="E271">
        <v>350</v>
      </c>
      <c r="F271">
        <v>1900</v>
      </c>
      <c r="G271">
        <v>1000</v>
      </c>
      <c r="J271" t="s">
        <v>29</v>
      </c>
      <c r="K271" t="s">
        <v>35</v>
      </c>
      <c r="L271" t="s">
        <v>25</v>
      </c>
      <c r="M271" t="s">
        <v>23</v>
      </c>
      <c r="N271">
        <v>7</v>
      </c>
      <c r="R271" t="s">
        <v>33</v>
      </c>
      <c r="S271" t="s">
        <v>14</v>
      </c>
      <c r="T271">
        <v>222.75</v>
      </c>
      <c r="U271" t="str">
        <f>_xlfn.IFNA(_xlfn.IFS(E271&gt;Dash!$D$46, "Big", E271&lt;Dash!$D$49, "Small", E271&gt;Dash!$D$47, "Good"), "Norm")</f>
        <v>Good</v>
      </c>
      <c r="V271" t="s">
        <v>41</v>
      </c>
      <c r="W271">
        <v>146</v>
      </c>
      <c r="X271" t="s">
        <v>43</v>
      </c>
      <c r="Y271" s="1">
        <v>45561</v>
      </c>
      <c r="Z271">
        <v>189.5</v>
      </c>
      <c r="AA271" t="str">
        <f>_xlfn.IFNA(_xlfn.IFS(Z271&gt;Dash!$E$46, "Big", Z271&lt;Dash!$E$49, "Small", Z271&gt;Dash!$E$47, "Good"), "Norm")</f>
        <v>Big</v>
      </c>
      <c r="AB271">
        <v>87</v>
      </c>
      <c r="AC271" t="str">
        <f>_xlfn.IFNA(_xlfn.IFS(AB271&gt;Dash!$F$46, "Big", AB271&lt;Dash!$F$49, "Small", AB271&gt;Dash!$F$47, "Good"), "Norm")</f>
        <v>Norm</v>
      </c>
      <c r="AD271">
        <v>350</v>
      </c>
      <c r="AE271" t="str">
        <f>_xlfn.IFNA(_xlfn.IFS(AD271&gt;Dash!$G$46, "Big", AD271&lt;Dash!$G$49, "Small", AD271&gt;Dash!$G$47, "Good"), "Norm")</f>
        <v>Big</v>
      </c>
      <c r="AF271">
        <v>173.5</v>
      </c>
      <c r="AG271" t="str">
        <f>_xlfn.IFNA(_xlfn.IFS(AF271&gt;Dash!$H$46, "Big", AF271&lt;Dash!$H$49, "Small", AF271&gt;Dash!$H$47, "Good"), "Norm")</f>
        <v>Good</v>
      </c>
      <c r="AH271">
        <v>24.75</v>
      </c>
      <c r="AI271" t="str">
        <f>_xlfn.IFNA(_xlfn.IFS(AH271&gt;Dash!$I$46, "Big", AH271&lt;Dash!$I$49, "Small", AH271&gt;Dash!$I$47, "Good"), "Norm")</f>
        <v>Norm</v>
      </c>
    </row>
    <row r="272" spans="1:35" x14ac:dyDescent="0.25">
      <c r="A272" s="1">
        <v>45562</v>
      </c>
      <c r="B272" t="s">
        <v>26</v>
      </c>
      <c r="C272" t="s">
        <v>33</v>
      </c>
      <c r="D272" t="s">
        <v>14</v>
      </c>
      <c r="E272">
        <v>222.75</v>
      </c>
      <c r="F272">
        <v>1400</v>
      </c>
      <c r="G272">
        <v>1400</v>
      </c>
      <c r="J272" t="s">
        <v>21</v>
      </c>
      <c r="K272" t="s">
        <v>35</v>
      </c>
      <c r="L272" t="s">
        <v>17</v>
      </c>
      <c r="M272" t="s">
        <v>23</v>
      </c>
      <c r="N272">
        <v>7</v>
      </c>
      <c r="R272" t="s">
        <v>13</v>
      </c>
      <c r="S272" t="s">
        <v>46</v>
      </c>
      <c r="T272">
        <v>230.75</v>
      </c>
      <c r="U272" t="str">
        <f>_xlfn.IFNA(_xlfn.IFS(E272&gt;Dash!$D$46, "Big", E272&lt;Dash!$D$49, "Small", E272&gt;Dash!$D$47, "Good"), "Norm")</f>
        <v>Norm</v>
      </c>
      <c r="V272" t="s">
        <v>33</v>
      </c>
      <c r="W272">
        <v>350</v>
      </c>
      <c r="X272" t="s">
        <v>28</v>
      </c>
      <c r="Y272" s="1">
        <v>45562</v>
      </c>
      <c r="Z272">
        <v>102.25</v>
      </c>
      <c r="AA272" t="str">
        <f>_xlfn.IFNA(_xlfn.IFS(Z272&gt;Dash!$E$46, "Big", Z272&lt;Dash!$E$49, "Small", Z272&gt;Dash!$E$47, "Good"), "Norm")</f>
        <v>Good</v>
      </c>
      <c r="AB272">
        <v>111.25</v>
      </c>
      <c r="AC272" t="str">
        <f>_xlfn.IFNA(_xlfn.IFS(AB272&gt;Dash!$F$46, "Big", AB272&lt;Dash!$F$49, "Small", AB272&gt;Dash!$F$47, "Good"), "Norm")</f>
        <v>Good</v>
      </c>
      <c r="AD272">
        <v>164.25</v>
      </c>
      <c r="AE272" t="str">
        <f>_xlfn.IFNA(_xlfn.IFS(AD272&gt;Dash!$G$46, "Big", AD272&lt;Dash!$G$49, "Small", AD272&gt;Dash!$G$47, "Good"), "Norm")</f>
        <v>Norm</v>
      </c>
      <c r="AF272">
        <v>120</v>
      </c>
      <c r="AG272" t="str">
        <f>_xlfn.IFNA(_xlfn.IFS(AF272&gt;Dash!$H$46, "Big", AF272&lt;Dash!$H$49, "Small", AF272&gt;Dash!$H$47, "Good"), "Norm")</f>
        <v>Norm</v>
      </c>
      <c r="AH272">
        <v>38.25</v>
      </c>
      <c r="AI272" t="str">
        <f>_xlfn.IFNA(_xlfn.IFS(AH272&gt;Dash!$I$46, "Big", AH272&lt;Dash!$I$49, "Small", AH272&gt;Dash!$I$47, "Good"), "Norm")</f>
        <v>Good</v>
      </c>
    </row>
    <row r="273" spans="1:35" x14ac:dyDescent="0.25">
      <c r="A273" s="1">
        <v>45565</v>
      </c>
      <c r="B273" t="s">
        <v>23</v>
      </c>
      <c r="C273" t="s">
        <v>13</v>
      </c>
      <c r="D273" t="s">
        <v>46</v>
      </c>
      <c r="E273">
        <v>230.75</v>
      </c>
      <c r="F273">
        <v>1800</v>
      </c>
      <c r="G273">
        <v>1800</v>
      </c>
      <c r="J273" t="s">
        <v>37</v>
      </c>
      <c r="K273" t="s">
        <v>16</v>
      </c>
      <c r="L273" t="s">
        <v>17</v>
      </c>
      <c r="M273" t="s">
        <v>23</v>
      </c>
      <c r="N273">
        <v>9</v>
      </c>
      <c r="R273" t="s">
        <v>24</v>
      </c>
      <c r="S273" t="s">
        <v>48</v>
      </c>
      <c r="T273">
        <v>468.5</v>
      </c>
      <c r="U273" t="str">
        <f>_xlfn.IFNA(_xlfn.IFS(E273&gt;Dash!$D$46, "Big", E273&lt;Dash!$D$49, "Small", E273&gt;Dash!$D$47, "Good"), "Norm")</f>
        <v>Norm</v>
      </c>
      <c r="V273" t="s">
        <v>33</v>
      </c>
      <c r="W273">
        <v>222.75</v>
      </c>
      <c r="X273" t="s">
        <v>14</v>
      </c>
      <c r="Y273" s="1">
        <v>45565</v>
      </c>
      <c r="Z273">
        <v>133.5</v>
      </c>
      <c r="AA273" t="str">
        <f>_xlfn.IFNA(_xlfn.IFS(Z273&gt;Dash!$E$46, "Big", Z273&lt;Dash!$E$49, "Small", Z273&gt;Dash!$E$47, "Good"), "Norm")</f>
        <v>Good</v>
      </c>
      <c r="AB273">
        <v>127.75</v>
      </c>
      <c r="AC273" t="str">
        <f>_xlfn.IFNA(_xlfn.IFS(AB273&gt;Dash!$F$46, "Big", AB273&lt;Dash!$F$49, "Small", AB273&gt;Dash!$F$47, "Good"), "Norm")</f>
        <v>Good</v>
      </c>
      <c r="AD273">
        <v>138.25</v>
      </c>
      <c r="AE273" t="str">
        <f>_xlfn.IFNA(_xlfn.IFS(AD273&gt;Dash!$G$46, "Big", AD273&lt;Dash!$G$49, "Small", AD273&gt;Dash!$G$47, "Good"), "Norm")</f>
        <v>Norm</v>
      </c>
      <c r="AF273">
        <v>230.75</v>
      </c>
      <c r="AG273" t="str">
        <f>_xlfn.IFNA(_xlfn.IFS(AF273&gt;Dash!$H$46, "Big", AF273&lt;Dash!$H$49, "Small", AF273&gt;Dash!$H$47, "Good"), "Norm")</f>
        <v>Good</v>
      </c>
      <c r="AH273">
        <v>43.25</v>
      </c>
      <c r="AI273" t="str">
        <f>_xlfn.IFNA(_xlfn.IFS(AH273&gt;Dash!$I$46, "Big", AH273&lt;Dash!$I$49, "Small", AH273&gt;Dash!$I$47, "Good"), "Norm")</f>
        <v>Good</v>
      </c>
    </row>
    <row r="274" spans="1:35" x14ac:dyDescent="0.25">
      <c r="A274" s="1">
        <v>45566</v>
      </c>
      <c r="B274" t="s">
        <v>19</v>
      </c>
      <c r="C274" t="s">
        <v>24</v>
      </c>
      <c r="D274" t="s">
        <v>48</v>
      </c>
      <c r="E274">
        <v>468.5</v>
      </c>
      <c r="F274">
        <v>2100</v>
      </c>
      <c r="G274">
        <v>2300</v>
      </c>
      <c r="H274">
        <v>900</v>
      </c>
      <c r="J274" t="s">
        <v>29</v>
      </c>
      <c r="K274" t="s">
        <v>16</v>
      </c>
      <c r="L274" t="s">
        <v>25</v>
      </c>
      <c r="M274" t="s">
        <v>23</v>
      </c>
      <c r="N274">
        <v>9</v>
      </c>
      <c r="R274" t="s">
        <v>33</v>
      </c>
      <c r="S274">
        <v>1</v>
      </c>
      <c r="T274">
        <v>256.75</v>
      </c>
      <c r="U274" t="str">
        <f>_xlfn.IFNA(_xlfn.IFS(E274&gt;Dash!$D$46, "Big", E274&lt;Dash!$D$49, "Small", E274&gt;Dash!$D$47, "Good"), "Norm")</f>
        <v>Big</v>
      </c>
      <c r="V274" t="s">
        <v>13</v>
      </c>
      <c r="W274">
        <v>230.75</v>
      </c>
      <c r="X274" t="s">
        <v>46</v>
      </c>
      <c r="Y274" s="1">
        <v>45566</v>
      </c>
      <c r="Z274">
        <v>118.5</v>
      </c>
      <c r="AA274" t="str">
        <f>_xlfn.IFNA(_xlfn.IFS(Z274&gt;Dash!$E$46, "Big", Z274&lt;Dash!$E$49, "Small", Z274&gt;Dash!$E$47, "Good"), "Norm")</f>
        <v>Good</v>
      </c>
      <c r="AB274">
        <v>109.75</v>
      </c>
      <c r="AC274" t="str">
        <f>_xlfn.IFNA(_xlfn.IFS(AB274&gt;Dash!$F$46, "Big", AB274&lt;Dash!$F$49, "Small", AB274&gt;Dash!$F$47, "Good"), "Norm")</f>
        <v>Good</v>
      </c>
      <c r="AD274">
        <v>468.5</v>
      </c>
      <c r="AE274" t="str">
        <f>_xlfn.IFNA(_xlfn.IFS(AD274&gt;Dash!$G$46, "Big", AD274&lt;Dash!$G$49, "Small", AD274&gt;Dash!$G$47, "Good"), "Norm")</f>
        <v>Big</v>
      </c>
      <c r="AF274">
        <v>236.75</v>
      </c>
      <c r="AG274" t="str">
        <f>_xlfn.IFNA(_xlfn.IFS(AF274&gt;Dash!$H$46, "Big", AF274&lt;Dash!$H$49, "Small", AF274&gt;Dash!$H$47, "Good"), "Norm")</f>
        <v>Big</v>
      </c>
      <c r="AH274">
        <v>62.75</v>
      </c>
      <c r="AI274" t="str">
        <f>_xlfn.IFNA(_xlfn.IFS(AH274&gt;Dash!$I$46, "Big", AH274&lt;Dash!$I$49, "Small", AH274&gt;Dash!$I$47, "Good"), "Norm")</f>
        <v>Good</v>
      </c>
    </row>
    <row r="275" spans="1:35" x14ac:dyDescent="0.25">
      <c r="A275" s="1">
        <v>45567</v>
      </c>
      <c r="B275" t="s">
        <v>18</v>
      </c>
      <c r="C275" t="s">
        <v>33</v>
      </c>
      <c r="D275">
        <v>1</v>
      </c>
      <c r="E275">
        <v>256.75</v>
      </c>
      <c r="J275" t="s">
        <v>34</v>
      </c>
      <c r="K275" t="s">
        <v>25</v>
      </c>
      <c r="L275" t="s">
        <v>35</v>
      </c>
      <c r="M275" t="s">
        <v>23</v>
      </c>
      <c r="N275">
        <v>9</v>
      </c>
      <c r="R275" t="s">
        <v>41</v>
      </c>
      <c r="S275" t="s">
        <v>43</v>
      </c>
      <c r="T275">
        <v>234.75</v>
      </c>
      <c r="U275" t="str">
        <f>_xlfn.IFNA(_xlfn.IFS(E275&gt;Dash!$D$46, "Big", E275&lt;Dash!$D$49, "Small", E275&gt;Dash!$D$47, "Good"), "Norm")</f>
        <v>Good</v>
      </c>
      <c r="V275" t="s">
        <v>24</v>
      </c>
      <c r="W275">
        <v>468.5</v>
      </c>
      <c r="X275" t="s">
        <v>48</v>
      </c>
      <c r="Y275" s="1">
        <v>45567</v>
      </c>
      <c r="Z275">
        <v>115.75</v>
      </c>
      <c r="AA275" t="str">
        <f>_xlfn.IFNA(_xlfn.IFS(Z275&gt;Dash!$E$46, "Big", Z275&lt;Dash!$E$49, "Small", Z275&gt;Dash!$E$47, "Good"), "Norm")</f>
        <v>Good</v>
      </c>
      <c r="AB275">
        <v>97</v>
      </c>
      <c r="AC275" t="str">
        <f>_xlfn.IFNA(_xlfn.IFS(AB275&gt;Dash!$F$46, "Big", AB275&lt;Dash!$F$49, "Small", AB275&gt;Dash!$F$47, "Good"), "Norm")</f>
        <v>Good</v>
      </c>
      <c r="AD275">
        <v>256.75</v>
      </c>
      <c r="AE275" t="str">
        <f>_xlfn.IFNA(_xlfn.IFS(AD275&gt;Dash!$G$46, "Big", AD275&lt;Dash!$G$49, "Small", AD275&gt;Dash!$G$47, "Good"), "Norm")</f>
        <v>Good</v>
      </c>
      <c r="AF275">
        <v>116.25</v>
      </c>
      <c r="AG275" t="str">
        <f>_xlfn.IFNA(_xlfn.IFS(AF275&gt;Dash!$H$46, "Big", AF275&lt;Dash!$H$49, "Small", AF275&gt;Dash!$H$47, "Good"), "Norm")</f>
        <v>Norm</v>
      </c>
      <c r="AH275">
        <v>68.5</v>
      </c>
      <c r="AI275" t="str">
        <f>_xlfn.IFNA(_xlfn.IFS(AH275&gt;Dash!$I$46, "Big", AH275&lt;Dash!$I$49, "Small", AH275&gt;Dash!$I$47, "Good"), "Norm")</f>
        <v>Good</v>
      </c>
    </row>
    <row r="276" spans="1:35" x14ac:dyDescent="0.25">
      <c r="A276" s="1">
        <v>45568</v>
      </c>
      <c r="B276" t="s">
        <v>36</v>
      </c>
      <c r="C276" t="s">
        <v>41</v>
      </c>
      <c r="D276" t="s">
        <v>43</v>
      </c>
      <c r="E276">
        <v>234.75</v>
      </c>
      <c r="F276">
        <v>1000</v>
      </c>
      <c r="G276">
        <v>1000</v>
      </c>
      <c r="J276" t="s">
        <v>27</v>
      </c>
      <c r="K276" t="s">
        <v>39</v>
      </c>
      <c r="L276" t="s">
        <v>35</v>
      </c>
      <c r="M276" t="s">
        <v>23</v>
      </c>
      <c r="N276">
        <v>9</v>
      </c>
      <c r="R276" t="s">
        <v>24</v>
      </c>
      <c r="S276" t="s">
        <v>28</v>
      </c>
      <c r="T276">
        <v>250.5</v>
      </c>
      <c r="U276" t="str">
        <f>_xlfn.IFNA(_xlfn.IFS(E276&gt;Dash!$D$46, "Big", E276&lt;Dash!$D$49, "Small", E276&gt;Dash!$D$47, "Good"), "Norm")</f>
        <v>Norm</v>
      </c>
      <c r="V276" t="s">
        <v>33</v>
      </c>
      <c r="W276">
        <v>256.75</v>
      </c>
      <c r="X276">
        <v>1</v>
      </c>
      <c r="Y276" s="1">
        <v>45568</v>
      </c>
      <c r="Z276">
        <v>137.25</v>
      </c>
      <c r="AA276" t="str">
        <f>_xlfn.IFNA(_xlfn.IFS(Z276&gt;Dash!$E$46, "Big", Z276&lt;Dash!$E$49, "Small", Z276&gt;Dash!$E$47, "Good"), "Norm")</f>
        <v>Big</v>
      </c>
      <c r="AB276">
        <v>125.5</v>
      </c>
      <c r="AC276" t="str">
        <f>_xlfn.IFNA(_xlfn.IFS(AB276&gt;Dash!$F$46, "Big", AB276&lt;Dash!$F$49, "Small", AB276&gt;Dash!$F$47, "Good"), "Norm")</f>
        <v>Good</v>
      </c>
      <c r="AD276">
        <v>219</v>
      </c>
      <c r="AE276" t="str">
        <f>_xlfn.IFNA(_xlfn.IFS(AD276&gt;Dash!$G$46, "Big", AD276&lt;Dash!$G$49, "Small", AD276&gt;Dash!$G$47, "Good"), "Norm")</f>
        <v>Good</v>
      </c>
      <c r="AF276">
        <v>172.75</v>
      </c>
      <c r="AG276" t="str">
        <f>_xlfn.IFNA(_xlfn.IFS(AF276&gt;Dash!$H$46, "Big", AF276&lt;Dash!$H$49, "Small", AF276&gt;Dash!$H$47, "Good"), "Norm")</f>
        <v>Good</v>
      </c>
      <c r="AH276">
        <v>62.25</v>
      </c>
      <c r="AI276" t="str">
        <f>_xlfn.IFNA(_xlfn.IFS(AH276&gt;Dash!$I$46, "Big", AH276&lt;Dash!$I$49, "Small", AH276&gt;Dash!$I$47, "Good"), "Norm")</f>
        <v>Good</v>
      </c>
    </row>
    <row r="277" spans="1:35" x14ac:dyDescent="0.25">
      <c r="A277" s="1">
        <v>45569</v>
      </c>
      <c r="B277" t="s">
        <v>26</v>
      </c>
      <c r="C277" t="s">
        <v>24</v>
      </c>
      <c r="D277" t="s">
        <v>28</v>
      </c>
      <c r="E277">
        <v>250.5</v>
      </c>
      <c r="F277">
        <v>800</v>
      </c>
      <c r="G277">
        <v>900</v>
      </c>
      <c r="J277" t="s">
        <v>27</v>
      </c>
      <c r="K277" t="s">
        <v>31</v>
      </c>
      <c r="L277" t="s">
        <v>35</v>
      </c>
      <c r="M277" t="s">
        <v>23</v>
      </c>
      <c r="N277">
        <v>9</v>
      </c>
      <c r="R277" t="s">
        <v>13</v>
      </c>
      <c r="S277" t="s">
        <v>43</v>
      </c>
      <c r="T277">
        <v>239.25</v>
      </c>
      <c r="U277" t="str">
        <f>_xlfn.IFNA(_xlfn.IFS(E277&gt;Dash!$D$46, "Big", E277&lt;Dash!$D$49, "Small", E277&gt;Dash!$D$47, "Good"), "Norm")</f>
        <v>Norm</v>
      </c>
      <c r="V277" t="s">
        <v>41</v>
      </c>
      <c r="W277">
        <v>234.75</v>
      </c>
      <c r="X277" t="s">
        <v>43</v>
      </c>
      <c r="Y277" s="1">
        <v>45569</v>
      </c>
      <c r="Z277">
        <v>128</v>
      </c>
      <c r="AA277" t="str">
        <f>_xlfn.IFNA(_xlfn.IFS(Z277&gt;Dash!$E$46, "Big", Z277&lt;Dash!$E$49, "Small", Z277&gt;Dash!$E$47, "Good"), "Norm")</f>
        <v>Good</v>
      </c>
      <c r="AB277">
        <v>113.75</v>
      </c>
      <c r="AC277" t="str">
        <f>_xlfn.IFNA(_xlfn.IFS(AB277&gt;Dash!$F$46, "Big", AB277&lt;Dash!$F$49, "Small", AB277&gt;Dash!$F$47, "Good"), "Norm")</f>
        <v>Good</v>
      </c>
      <c r="AD277">
        <v>250.5</v>
      </c>
      <c r="AE277" t="str">
        <f>_xlfn.IFNA(_xlfn.IFS(AD277&gt;Dash!$G$46, "Big", AD277&lt;Dash!$G$49, "Small", AD277&gt;Dash!$G$47, "Good"), "Norm")</f>
        <v>Good</v>
      </c>
      <c r="AF277">
        <v>164</v>
      </c>
      <c r="AG277" t="str">
        <f>_xlfn.IFNA(_xlfn.IFS(AF277&gt;Dash!$H$46, "Big", AF277&lt;Dash!$H$49, "Small", AF277&gt;Dash!$H$47, "Good"), "Norm")</f>
        <v>Good</v>
      </c>
      <c r="AH277">
        <v>36</v>
      </c>
      <c r="AI277" t="str">
        <f>_xlfn.IFNA(_xlfn.IFS(AH277&gt;Dash!$I$46, "Big", AH277&lt;Dash!$I$49, "Small", AH277&gt;Dash!$I$47, "Good"), "Norm")</f>
        <v>Norm</v>
      </c>
    </row>
    <row r="278" spans="1:35" x14ac:dyDescent="0.25">
      <c r="A278" s="1">
        <v>45572</v>
      </c>
      <c r="B278" t="s">
        <v>23</v>
      </c>
      <c r="C278" t="s">
        <v>13</v>
      </c>
      <c r="D278" t="s">
        <v>43</v>
      </c>
      <c r="E278">
        <v>239.25</v>
      </c>
      <c r="F278">
        <v>1800</v>
      </c>
      <c r="G278">
        <v>1800</v>
      </c>
      <c r="J278" t="s">
        <v>29</v>
      </c>
      <c r="K278" t="s">
        <v>16</v>
      </c>
      <c r="L278" t="s">
        <v>17</v>
      </c>
      <c r="M278" t="s">
        <v>18</v>
      </c>
      <c r="N278">
        <v>7</v>
      </c>
      <c r="R278" t="s">
        <v>13</v>
      </c>
      <c r="S278" t="s">
        <v>38</v>
      </c>
      <c r="T278">
        <v>273.25</v>
      </c>
      <c r="U278" t="str">
        <f>_xlfn.IFNA(_xlfn.IFS(E278&gt;Dash!$D$46, "Big", E278&lt;Dash!$D$49, "Small", E278&gt;Dash!$D$47, "Good"), "Norm")</f>
        <v>Norm</v>
      </c>
      <c r="V278" t="s">
        <v>24</v>
      </c>
      <c r="W278">
        <v>250.5</v>
      </c>
      <c r="X278" t="s">
        <v>28</v>
      </c>
      <c r="Y278" s="1">
        <v>45572</v>
      </c>
      <c r="Z278">
        <v>84</v>
      </c>
      <c r="AA278" t="str">
        <f>_xlfn.IFNA(_xlfn.IFS(Z278&gt;Dash!$E$46, "Big", Z278&lt;Dash!$E$49, "Small", Z278&gt;Dash!$E$47, "Good"), "Norm")</f>
        <v>Good</v>
      </c>
      <c r="AB278">
        <v>155.75</v>
      </c>
      <c r="AC278" t="str">
        <f>_xlfn.IFNA(_xlfn.IFS(AB278&gt;Dash!$F$46, "Big", AB278&lt;Dash!$F$49, "Small", AB278&gt;Dash!$F$47, "Good"), "Norm")</f>
        <v>Big</v>
      </c>
      <c r="AD278">
        <v>98.75</v>
      </c>
      <c r="AE278" t="str">
        <f>_xlfn.IFNA(_xlfn.IFS(AD278&gt;Dash!$G$46, "Big", AD278&lt;Dash!$G$49, "Small", AD278&gt;Dash!$G$47, "Good"), "Norm")</f>
        <v>Small</v>
      </c>
      <c r="AF278">
        <v>220</v>
      </c>
      <c r="AG278" t="str">
        <f>_xlfn.IFNA(_xlfn.IFS(AF278&gt;Dash!$H$46, "Big", AF278&lt;Dash!$H$49, "Small", AF278&gt;Dash!$H$47, "Good"), "Norm")</f>
        <v>Good</v>
      </c>
      <c r="AH278">
        <v>35.25</v>
      </c>
      <c r="AI278" t="str">
        <f>_xlfn.IFNA(_xlfn.IFS(AH278&gt;Dash!$I$46, "Big", AH278&lt;Dash!$I$49, "Small", AH278&gt;Dash!$I$47, "Good"), "Norm")</f>
        <v>Norm</v>
      </c>
    </row>
    <row r="279" spans="1:35" x14ac:dyDescent="0.25">
      <c r="A279" s="1">
        <v>45573</v>
      </c>
      <c r="B279" t="s">
        <v>19</v>
      </c>
      <c r="C279" t="s">
        <v>13</v>
      </c>
      <c r="D279" t="s">
        <v>38</v>
      </c>
      <c r="E279">
        <v>273.25</v>
      </c>
      <c r="F279">
        <v>1800</v>
      </c>
      <c r="G279">
        <v>1800</v>
      </c>
      <c r="H279">
        <v>1000</v>
      </c>
      <c r="I279">
        <v>1000</v>
      </c>
      <c r="J279" t="s">
        <v>37</v>
      </c>
      <c r="K279" t="s">
        <v>31</v>
      </c>
      <c r="L279" t="s">
        <v>32</v>
      </c>
      <c r="M279" t="s">
        <v>18</v>
      </c>
      <c r="N279">
        <v>7</v>
      </c>
      <c r="R279" t="s">
        <v>20</v>
      </c>
      <c r="S279" t="s">
        <v>28</v>
      </c>
      <c r="T279">
        <v>244.25</v>
      </c>
      <c r="U279" t="str">
        <f>_xlfn.IFNA(_xlfn.IFS(E279&gt;Dash!$D$46, "Big", E279&lt;Dash!$D$49, "Small", E279&gt;Dash!$D$47, "Good"), "Norm")</f>
        <v>Good</v>
      </c>
      <c r="V279" t="s">
        <v>13</v>
      </c>
      <c r="W279">
        <v>239.25</v>
      </c>
      <c r="X279" t="s">
        <v>43</v>
      </c>
      <c r="Y279" s="1">
        <v>45573</v>
      </c>
      <c r="Z279">
        <v>128.5</v>
      </c>
      <c r="AA279" t="str">
        <f>_xlfn.IFNA(_xlfn.IFS(Z279&gt;Dash!$E$46, "Big", Z279&lt;Dash!$E$49, "Small", Z279&gt;Dash!$E$47, "Good"), "Norm")</f>
        <v>Good</v>
      </c>
      <c r="AB279">
        <v>158.5</v>
      </c>
      <c r="AC279" t="str">
        <f>_xlfn.IFNA(_xlfn.IFS(AB279&gt;Dash!$F$46, "Big", AB279&lt;Dash!$F$49, "Small", AB279&gt;Dash!$F$47, "Good"), "Norm")</f>
        <v>Big</v>
      </c>
      <c r="AD279">
        <v>217.5</v>
      </c>
      <c r="AE279" t="str">
        <f>_xlfn.IFNA(_xlfn.IFS(AD279&gt;Dash!$G$46, "Big", AD279&lt;Dash!$G$49, "Small", AD279&gt;Dash!$G$47, "Good"), "Norm")</f>
        <v>Good</v>
      </c>
      <c r="AF279">
        <v>164.75</v>
      </c>
      <c r="AG279" t="str">
        <f>_xlfn.IFNA(_xlfn.IFS(AF279&gt;Dash!$H$46, "Big", AF279&lt;Dash!$H$49, "Small", AF279&gt;Dash!$H$47, "Good"), "Norm")</f>
        <v>Good</v>
      </c>
      <c r="AH279">
        <v>24.25</v>
      </c>
      <c r="AI279" t="str">
        <f>_xlfn.IFNA(_xlfn.IFS(AH279&gt;Dash!$I$46, "Big", AH279&lt;Dash!$I$49, "Small", AH279&gt;Dash!$I$47, "Good"), "Norm")</f>
        <v>Norm</v>
      </c>
    </row>
    <row r="280" spans="1:35" x14ac:dyDescent="0.25">
      <c r="A280" s="1">
        <v>45574</v>
      </c>
      <c r="B280" t="s">
        <v>18</v>
      </c>
      <c r="C280" t="s">
        <v>20</v>
      </c>
      <c r="D280" t="s">
        <v>28</v>
      </c>
      <c r="E280">
        <v>244.25</v>
      </c>
      <c r="F280">
        <v>1000</v>
      </c>
      <c r="J280" t="s">
        <v>27</v>
      </c>
      <c r="K280" t="s">
        <v>39</v>
      </c>
      <c r="L280" t="s">
        <v>32</v>
      </c>
      <c r="M280" t="s">
        <v>18</v>
      </c>
      <c r="N280">
        <v>7</v>
      </c>
      <c r="R280" t="s">
        <v>33</v>
      </c>
      <c r="S280" t="s">
        <v>43</v>
      </c>
      <c r="T280">
        <v>206.75</v>
      </c>
      <c r="U280" t="str">
        <f>_xlfn.IFNA(_xlfn.IFS(E280&gt;Dash!$D$46, "Big", E280&lt;Dash!$D$49, "Small", E280&gt;Dash!$D$47, "Good"), "Norm")</f>
        <v>Norm</v>
      </c>
      <c r="V280" t="s">
        <v>13</v>
      </c>
      <c r="W280">
        <v>273.25</v>
      </c>
      <c r="X280" t="s">
        <v>38</v>
      </c>
      <c r="Y280" s="1">
        <v>45574</v>
      </c>
      <c r="Z280">
        <v>74.25</v>
      </c>
      <c r="AA280" t="str">
        <f>_xlfn.IFNA(_xlfn.IFS(Z280&gt;Dash!$E$46, "Big", Z280&lt;Dash!$E$49, "Small", Z280&gt;Dash!$E$47, "Good"), "Norm")</f>
        <v>Norm</v>
      </c>
      <c r="AB280">
        <v>97</v>
      </c>
      <c r="AC280" t="str">
        <f>_xlfn.IFNA(_xlfn.IFS(AB280&gt;Dash!$F$46, "Big", AB280&lt;Dash!$F$49, "Small", AB280&gt;Dash!$F$47, "Good"), "Norm")</f>
        <v>Good</v>
      </c>
      <c r="AD280">
        <v>209.75</v>
      </c>
      <c r="AE280" t="str">
        <f>_xlfn.IFNA(_xlfn.IFS(AD280&gt;Dash!$G$46, "Big", AD280&lt;Dash!$G$49, "Small", AD280&gt;Dash!$G$47, "Good"), "Norm")</f>
        <v>Good</v>
      </c>
      <c r="AF280">
        <v>127.75</v>
      </c>
      <c r="AG280" t="str">
        <f>_xlfn.IFNA(_xlfn.IFS(AF280&gt;Dash!$H$46, "Big", AF280&lt;Dash!$H$49, "Small", AF280&gt;Dash!$H$47, "Good"), "Norm")</f>
        <v>Norm</v>
      </c>
      <c r="AH280">
        <v>41.75</v>
      </c>
      <c r="AI280" t="str">
        <f>_xlfn.IFNA(_xlfn.IFS(AH280&gt;Dash!$I$46, "Big", AH280&lt;Dash!$I$49, "Small", AH280&gt;Dash!$I$47, "Good"), "Norm")</f>
        <v>Good</v>
      </c>
    </row>
    <row r="281" spans="1:35" x14ac:dyDescent="0.25">
      <c r="A281" s="1">
        <v>45575</v>
      </c>
      <c r="B281" t="s">
        <v>36</v>
      </c>
      <c r="C281" t="s">
        <v>33</v>
      </c>
      <c r="D281" t="s">
        <v>43</v>
      </c>
      <c r="E281">
        <v>206.75</v>
      </c>
      <c r="F281">
        <v>1200</v>
      </c>
      <c r="G281">
        <v>1200</v>
      </c>
      <c r="J281" t="s">
        <v>27</v>
      </c>
      <c r="K281" t="s">
        <v>25</v>
      </c>
      <c r="L281" t="s">
        <v>35</v>
      </c>
      <c r="M281" t="s">
        <v>18</v>
      </c>
      <c r="N281">
        <v>7</v>
      </c>
      <c r="R281" t="s">
        <v>33</v>
      </c>
      <c r="S281">
        <v>1</v>
      </c>
      <c r="T281">
        <v>179.5</v>
      </c>
      <c r="U281" t="str">
        <f>_xlfn.IFNA(_xlfn.IFS(E281&gt;Dash!$D$46, "Big", E281&lt;Dash!$D$49, "Small", E281&gt;Dash!$D$47, "Good"), "Norm")</f>
        <v>Norm</v>
      </c>
      <c r="V281" t="s">
        <v>20</v>
      </c>
      <c r="W281">
        <v>244.25</v>
      </c>
      <c r="X281" t="s">
        <v>28</v>
      </c>
      <c r="Y281" s="1">
        <v>45575</v>
      </c>
      <c r="Z281">
        <v>38.25</v>
      </c>
      <c r="AA281" t="str">
        <f>_xlfn.IFNA(_xlfn.IFS(Z281&gt;Dash!$E$46, "Big", Z281&lt;Dash!$E$49, "Small", Z281&gt;Dash!$E$47, "Good"), "Norm")</f>
        <v>Small</v>
      </c>
      <c r="AB281">
        <v>54.25</v>
      </c>
      <c r="AC281" t="str">
        <f>_xlfn.IFNA(_xlfn.IFS(AB281&gt;Dash!$F$46, "Big", AB281&lt;Dash!$F$49, "Small", AB281&gt;Dash!$F$47, "Good"), "Norm")</f>
        <v>Small</v>
      </c>
      <c r="AD281">
        <v>177</v>
      </c>
      <c r="AE281" t="str">
        <f>_xlfn.IFNA(_xlfn.IFS(AD281&gt;Dash!$G$46, "Big", AD281&lt;Dash!$G$49, "Small", AD281&gt;Dash!$G$47, "Good"), "Norm")</f>
        <v>Norm</v>
      </c>
      <c r="AF281">
        <v>135.75</v>
      </c>
      <c r="AG281" t="str">
        <f>_xlfn.IFNA(_xlfn.IFS(AF281&gt;Dash!$H$46, "Big", AF281&lt;Dash!$H$49, "Small", AF281&gt;Dash!$H$47, "Good"), "Norm")</f>
        <v>Norm</v>
      </c>
      <c r="AH281">
        <v>24</v>
      </c>
      <c r="AI281" t="str">
        <f>_xlfn.IFNA(_xlfn.IFS(AH281&gt;Dash!$I$46, "Big", AH281&lt;Dash!$I$49, "Small", AH281&gt;Dash!$I$47, "Good"), "Norm")</f>
        <v>Norm</v>
      </c>
    </row>
    <row r="282" spans="1:35" x14ac:dyDescent="0.25">
      <c r="A282" s="1">
        <v>45576</v>
      </c>
      <c r="B282" t="s">
        <v>26</v>
      </c>
      <c r="C282" t="s">
        <v>33</v>
      </c>
      <c r="D282">
        <v>1</v>
      </c>
      <c r="E282">
        <v>179.5</v>
      </c>
      <c r="J282" t="s">
        <v>34</v>
      </c>
      <c r="K282" t="s">
        <v>25</v>
      </c>
      <c r="L282" t="s">
        <v>35</v>
      </c>
      <c r="M282" t="s">
        <v>18</v>
      </c>
      <c r="N282">
        <v>7</v>
      </c>
      <c r="R282" t="s">
        <v>24</v>
      </c>
      <c r="S282" t="s">
        <v>28</v>
      </c>
      <c r="T282">
        <v>177.5</v>
      </c>
      <c r="U282" t="str">
        <f>_xlfn.IFNA(_xlfn.IFS(E282&gt;Dash!$D$46, "Big", E282&lt;Dash!$D$49, "Small", E282&gt;Dash!$D$47, "Good"), "Norm")</f>
        <v>Norm</v>
      </c>
      <c r="V282" t="s">
        <v>33</v>
      </c>
      <c r="W282">
        <v>206.75</v>
      </c>
      <c r="X282" t="s">
        <v>43</v>
      </c>
      <c r="Y282" s="1">
        <v>45576</v>
      </c>
      <c r="Z282">
        <v>53.75</v>
      </c>
      <c r="AA282" t="str">
        <f>_xlfn.IFNA(_xlfn.IFS(Z282&gt;Dash!$E$46, "Big", Z282&lt;Dash!$E$49, "Small", Z282&gt;Dash!$E$47, "Good"), "Norm")</f>
        <v>Norm</v>
      </c>
      <c r="AB282">
        <v>79.25</v>
      </c>
      <c r="AC282" t="str">
        <f>_xlfn.IFNA(_xlfn.IFS(AB282&gt;Dash!$F$46, "Big", AB282&lt;Dash!$F$49, "Small", AB282&gt;Dash!$F$47, "Good"), "Norm")</f>
        <v>Norm</v>
      </c>
      <c r="AD282">
        <v>166.5</v>
      </c>
      <c r="AE282" t="str">
        <f>_xlfn.IFNA(_xlfn.IFS(AD282&gt;Dash!$G$46, "Big", AD282&lt;Dash!$G$49, "Small", AD282&gt;Dash!$G$47, "Good"), "Norm")</f>
        <v>Norm</v>
      </c>
      <c r="AF282">
        <v>89.75</v>
      </c>
      <c r="AG282" t="str">
        <f>_xlfn.IFNA(_xlfn.IFS(AF282&gt;Dash!$H$46, "Big", AF282&lt;Dash!$H$49, "Small", AF282&gt;Dash!$H$47, "Good"), "Norm")</f>
        <v>Small</v>
      </c>
      <c r="AH282">
        <v>47</v>
      </c>
      <c r="AI282" t="str">
        <f>_xlfn.IFNA(_xlfn.IFS(AH282&gt;Dash!$I$46, "Big", AH282&lt;Dash!$I$49, "Small", AH282&gt;Dash!$I$47, "Good"), "Norm")</f>
        <v>Good</v>
      </c>
    </row>
    <row r="283" spans="1:35" x14ac:dyDescent="0.25">
      <c r="A283" s="1">
        <v>45579</v>
      </c>
      <c r="B283" t="s">
        <v>23</v>
      </c>
      <c r="C283" t="s">
        <v>24</v>
      </c>
      <c r="D283" t="s">
        <v>28</v>
      </c>
      <c r="E283">
        <v>177.5</v>
      </c>
      <c r="F283">
        <v>600</v>
      </c>
      <c r="J283" t="s">
        <v>30</v>
      </c>
      <c r="K283" t="s">
        <v>31</v>
      </c>
      <c r="L283" t="s">
        <v>35</v>
      </c>
      <c r="M283" t="s">
        <v>36</v>
      </c>
      <c r="N283">
        <v>3</v>
      </c>
      <c r="R283" t="s">
        <v>33</v>
      </c>
      <c r="S283" t="s">
        <v>14</v>
      </c>
      <c r="T283">
        <v>405.25</v>
      </c>
      <c r="U283" t="str">
        <f>_xlfn.IFNA(_xlfn.IFS(E283&gt;Dash!$D$46, "Big", E283&lt;Dash!$D$49, "Small", E283&gt;Dash!$D$47, "Good"), "Norm")</f>
        <v>Norm</v>
      </c>
      <c r="V283" t="s">
        <v>33</v>
      </c>
      <c r="W283">
        <v>179.5</v>
      </c>
      <c r="X283">
        <v>1</v>
      </c>
      <c r="Y283" s="1">
        <v>45579</v>
      </c>
      <c r="Z283">
        <v>67.5</v>
      </c>
      <c r="AA283" t="str">
        <f>_xlfn.IFNA(_xlfn.IFS(Z283&gt;Dash!$E$46, "Big", Z283&lt;Dash!$E$49, "Small", Z283&gt;Dash!$E$47, "Good"), "Norm")</f>
        <v>Norm</v>
      </c>
      <c r="AB283">
        <v>102.25</v>
      </c>
      <c r="AC283" t="str">
        <f>_xlfn.IFNA(_xlfn.IFS(AB283&gt;Dash!$F$46, "Big", AB283&lt;Dash!$F$49, "Small", AB283&gt;Dash!$F$47, "Good"), "Norm")</f>
        <v>Good</v>
      </c>
      <c r="AD283">
        <v>177.5</v>
      </c>
      <c r="AE283" t="str">
        <f>_xlfn.IFNA(_xlfn.IFS(AD283&gt;Dash!$G$46, "Big", AD283&lt;Dash!$G$49, "Small", AD283&gt;Dash!$G$47, "Good"), "Norm")</f>
        <v>Norm</v>
      </c>
      <c r="AF283">
        <v>88.75</v>
      </c>
      <c r="AG283" t="str">
        <f>_xlfn.IFNA(_xlfn.IFS(AF283&gt;Dash!$H$46, "Big", AF283&lt;Dash!$H$49, "Small", AF283&gt;Dash!$H$47, "Good"), "Norm")</f>
        <v>Small</v>
      </c>
      <c r="AH283">
        <v>38</v>
      </c>
      <c r="AI283" t="str">
        <f>_xlfn.IFNA(_xlfn.IFS(AH283&gt;Dash!$I$46, "Big", AH283&lt;Dash!$I$49, "Small", AH283&gt;Dash!$I$47, "Good"), "Norm")</f>
        <v>Good</v>
      </c>
    </row>
    <row r="284" spans="1:35" x14ac:dyDescent="0.25">
      <c r="A284" s="1">
        <v>45580</v>
      </c>
      <c r="B284" t="s">
        <v>19</v>
      </c>
      <c r="C284" t="s">
        <v>33</v>
      </c>
      <c r="D284" t="s">
        <v>14</v>
      </c>
      <c r="E284">
        <v>405.25</v>
      </c>
      <c r="F284">
        <v>1000</v>
      </c>
      <c r="G284">
        <v>1000</v>
      </c>
      <c r="J284" t="s">
        <v>45</v>
      </c>
      <c r="K284" t="s">
        <v>35</v>
      </c>
      <c r="L284" t="s">
        <v>17</v>
      </c>
      <c r="M284" t="s">
        <v>36</v>
      </c>
      <c r="N284">
        <v>3</v>
      </c>
      <c r="R284" t="s">
        <v>24</v>
      </c>
      <c r="S284" t="s">
        <v>46</v>
      </c>
      <c r="T284">
        <v>173</v>
      </c>
      <c r="U284" t="str">
        <f>_xlfn.IFNA(_xlfn.IFS(E284&gt;Dash!$D$46, "Big", E284&lt;Dash!$D$49, "Small", E284&gt;Dash!$D$47, "Good"), "Norm")</f>
        <v>Big</v>
      </c>
      <c r="V284" t="s">
        <v>24</v>
      </c>
      <c r="W284">
        <v>177.5</v>
      </c>
      <c r="X284" t="s">
        <v>28</v>
      </c>
      <c r="Y284" s="1">
        <v>45580</v>
      </c>
      <c r="Z284">
        <v>50.75</v>
      </c>
      <c r="AA284" t="str">
        <f>_xlfn.IFNA(_xlfn.IFS(Z284&gt;Dash!$E$46, "Big", Z284&lt;Dash!$E$49, "Small", Z284&gt;Dash!$E$47, "Good"), "Norm")</f>
        <v>Norm</v>
      </c>
      <c r="AB284">
        <v>58.5</v>
      </c>
      <c r="AC284" t="str">
        <f>_xlfn.IFNA(_xlfn.IFS(AB284&gt;Dash!$F$46, "Big", AB284&lt;Dash!$F$49, "Small", AB284&gt;Dash!$F$47, "Good"), "Norm")</f>
        <v>Norm</v>
      </c>
      <c r="AD284">
        <v>328</v>
      </c>
      <c r="AE284" t="str">
        <f>_xlfn.IFNA(_xlfn.IFS(AD284&gt;Dash!$G$46, "Big", AD284&lt;Dash!$G$49, "Small", AD284&gt;Dash!$G$47, "Good"), "Norm")</f>
        <v>Big</v>
      </c>
      <c r="AF284">
        <v>162.5</v>
      </c>
      <c r="AG284" t="str">
        <f>_xlfn.IFNA(_xlfn.IFS(AF284&gt;Dash!$H$46, "Big", AF284&lt;Dash!$H$49, "Small", AF284&gt;Dash!$H$47, "Good"), "Norm")</f>
        <v>Good</v>
      </c>
      <c r="AH284">
        <v>34.75</v>
      </c>
      <c r="AI284" t="str">
        <f>_xlfn.IFNA(_xlfn.IFS(AH284&gt;Dash!$I$46, "Big", AH284&lt;Dash!$I$49, "Small", AH284&gt;Dash!$I$47, "Good"), "Norm")</f>
        <v>Norm</v>
      </c>
    </row>
    <row r="285" spans="1:35" x14ac:dyDescent="0.25">
      <c r="A285" s="1">
        <v>45581</v>
      </c>
      <c r="B285" t="s">
        <v>18</v>
      </c>
      <c r="C285" t="s">
        <v>24</v>
      </c>
      <c r="D285" t="s">
        <v>46</v>
      </c>
      <c r="E285">
        <v>173</v>
      </c>
      <c r="F285">
        <v>900</v>
      </c>
      <c r="G285">
        <v>1000</v>
      </c>
      <c r="J285" t="s">
        <v>45</v>
      </c>
      <c r="K285" t="s">
        <v>16</v>
      </c>
      <c r="L285" t="s">
        <v>25</v>
      </c>
      <c r="M285" t="s">
        <v>36</v>
      </c>
      <c r="N285">
        <v>3</v>
      </c>
      <c r="R285" t="s">
        <v>24</v>
      </c>
      <c r="S285" t="s">
        <v>28</v>
      </c>
      <c r="T285">
        <v>241</v>
      </c>
      <c r="U285" t="str">
        <f>_xlfn.IFNA(_xlfn.IFS(E285&gt;Dash!$D$46, "Big", E285&lt;Dash!$D$49, "Small", E285&gt;Dash!$D$47, "Good"), "Norm")</f>
        <v>Norm</v>
      </c>
      <c r="V285" t="s">
        <v>33</v>
      </c>
      <c r="W285">
        <v>405.25</v>
      </c>
      <c r="X285" t="s">
        <v>14</v>
      </c>
      <c r="Y285" s="1">
        <v>45581</v>
      </c>
      <c r="Z285">
        <v>92.5</v>
      </c>
      <c r="AA285" t="str">
        <f>_xlfn.IFNA(_xlfn.IFS(Z285&gt;Dash!$E$46, "Big", Z285&lt;Dash!$E$49, "Small", Z285&gt;Dash!$E$47, "Good"), "Norm")</f>
        <v>Good</v>
      </c>
      <c r="AB285">
        <v>63.75</v>
      </c>
      <c r="AC285" t="str">
        <f>_xlfn.IFNA(_xlfn.IFS(AB285&gt;Dash!$F$46, "Big", AB285&lt;Dash!$F$49, "Small", AB285&gt;Dash!$F$47, "Good"), "Norm")</f>
        <v>Norm</v>
      </c>
      <c r="AD285">
        <v>172.25</v>
      </c>
      <c r="AE285" t="str">
        <f>_xlfn.IFNA(_xlfn.IFS(AD285&gt;Dash!$G$46, "Big", AD285&lt;Dash!$G$49, "Small", AD285&gt;Dash!$G$47, "Good"), "Norm")</f>
        <v>Norm</v>
      </c>
      <c r="AF285">
        <v>109.25</v>
      </c>
      <c r="AG285" t="str">
        <f>_xlfn.IFNA(_xlfn.IFS(AF285&gt;Dash!$H$46, "Big", AF285&lt;Dash!$H$49, "Small", AF285&gt;Dash!$H$47, "Good"), "Norm")</f>
        <v>Norm</v>
      </c>
      <c r="AH285">
        <v>29.75</v>
      </c>
      <c r="AI285" t="str">
        <f>_xlfn.IFNA(_xlfn.IFS(AH285&gt;Dash!$I$46, "Big", AH285&lt;Dash!$I$49, "Small", AH285&gt;Dash!$I$47, "Good"), "Norm")</f>
        <v>Norm</v>
      </c>
    </row>
    <row r="286" spans="1:35" x14ac:dyDescent="0.25">
      <c r="A286" s="1">
        <v>45582</v>
      </c>
      <c r="B286" t="s">
        <v>36</v>
      </c>
      <c r="C286" t="s">
        <v>24</v>
      </c>
      <c r="D286" t="s">
        <v>28</v>
      </c>
      <c r="E286">
        <v>241</v>
      </c>
      <c r="F286">
        <v>200</v>
      </c>
      <c r="G286">
        <v>1500</v>
      </c>
      <c r="J286" t="s">
        <v>30</v>
      </c>
      <c r="K286" t="s">
        <v>31</v>
      </c>
      <c r="L286" t="s">
        <v>35</v>
      </c>
      <c r="M286" t="s">
        <v>36</v>
      </c>
      <c r="N286">
        <v>3</v>
      </c>
      <c r="O286" t="s">
        <v>74</v>
      </c>
      <c r="R286" t="s">
        <v>24</v>
      </c>
      <c r="S286">
        <v>1</v>
      </c>
      <c r="T286">
        <v>96.75</v>
      </c>
      <c r="U286" t="str">
        <f>_xlfn.IFNA(_xlfn.IFS(E286&gt;Dash!$D$46, "Big", E286&lt;Dash!$D$49, "Small", E286&gt;Dash!$D$47, "Good"), "Norm")</f>
        <v>Norm</v>
      </c>
      <c r="V286" t="s">
        <v>24</v>
      </c>
      <c r="W286">
        <v>173</v>
      </c>
      <c r="X286" t="s">
        <v>46</v>
      </c>
      <c r="Y286" s="1">
        <v>45582</v>
      </c>
      <c r="Z286">
        <v>71</v>
      </c>
      <c r="AA286" t="str">
        <f>_xlfn.IFNA(_xlfn.IFS(Z286&gt;Dash!$E$46, "Big", Z286&lt;Dash!$E$49, "Small", Z286&gt;Dash!$E$47, "Good"), "Norm")</f>
        <v>Norm</v>
      </c>
      <c r="AB286">
        <v>196</v>
      </c>
      <c r="AC286" t="str">
        <f>_xlfn.IFNA(_xlfn.IFS(AB286&gt;Dash!$F$46, "Big", AB286&lt;Dash!$F$49, "Small", AB286&gt;Dash!$F$47, "Good"), "Norm")</f>
        <v>Big</v>
      </c>
      <c r="AD286">
        <v>228.25</v>
      </c>
      <c r="AE286" t="str">
        <f>_xlfn.IFNA(_xlfn.IFS(AD286&gt;Dash!$G$46, "Big", AD286&lt;Dash!$G$49, "Small", AD286&gt;Dash!$G$47, "Good"), "Norm")</f>
        <v>Good</v>
      </c>
      <c r="AF286">
        <v>175</v>
      </c>
      <c r="AG286" t="str">
        <f>_xlfn.IFNA(_xlfn.IFS(AF286&gt;Dash!$H$46, "Big", AF286&lt;Dash!$H$49, "Small", AF286&gt;Dash!$H$47, "Good"), "Norm")</f>
        <v>Good</v>
      </c>
      <c r="AH286">
        <v>56.75</v>
      </c>
      <c r="AI286" t="str">
        <f>_xlfn.IFNA(_xlfn.IFS(AH286&gt;Dash!$I$46, "Big", AH286&lt;Dash!$I$49, "Small", AH286&gt;Dash!$I$47, "Good"), "Norm")</f>
        <v>Good</v>
      </c>
    </row>
    <row r="287" spans="1:35" x14ac:dyDescent="0.25">
      <c r="A287" s="1">
        <v>45583</v>
      </c>
      <c r="B287" t="s">
        <v>26</v>
      </c>
      <c r="C287" t="s">
        <v>24</v>
      </c>
      <c r="D287">
        <v>1</v>
      </c>
      <c r="E287">
        <v>96.75</v>
      </c>
      <c r="J287" t="s">
        <v>34</v>
      </c>
      <c r="K287" t="s">
        <v>31</v>
      </c>
      <c r="L287" t="s">
        <v>35</v>
      </c>
      <c r="M287" t="s">
        <v>36</v>
      </c>
      <c r="N287">
        <v>3</v>
      </c>
      <c r="R287" t="s">
        <v>41</v>
      </c>
      <c r="S287" t="s">
        <v>28</v>
      </c>
      <c r="T287">
        <v>209.5</v>
      </c>
      <c r="U287" t="str">
        <f>_xlfn.IFNA(_xlfn.IFS(E287&gt;Dash!$D$46, "Big", E287&lt;Dash!$D$49, "Small", E287&gt;Dash!$D$47, "Good"), "Norm")</f>
        <v>Small</v>
      </c>
      <c r="V287" t="s">
        <v>24</v>
      </c>
      <c r="W287">
        <v>241</v>
      </c>
      <c r="X287" t="s">
        <v>28</v>
      </c>
      <c r="Y287" s="1">
        <v>45583</v>
      </c>
      <c r="Z287">
        <v>93.75</v>
      </c>
      <c r="AA287" t="str">
        <f>_xlfn.IFNA(_xlfn.IFS(Z287&gt;Dash!$E$46, "Big", Z287&lt;Dash!$E$49, "Small", Z287&gt;Dash!$E$47, "Good"), "Norm")</f>
        <v>Good</v>
      </c>
      <c r="AB287">
        <v>82.75</v>
      </c>
      <c r="AC287" t="str">
        <f>_xlfn.IFNA(_xlfn.IFS(AB287&gt;Dash!$F$46, "Big", AB287&lt;Dash!$F$49, "Small", AB287&gt;Dash!$F$47, "Good"), "Norm")</f>
        <v>Norm</v>
      </c>
      <c r="AD287">
        <v>96.75</v>
      </c>
      <c r="AE287" t="str">
        <f>_xlfn.IFNA(_xlfn.IFS(AD287&gt;Dash!$G$46, "Big", AD287&lt;Dash!$G$49, "Small", AD287&gt;Dash!$G$47, "Good"), "Norm")</f>
        <v>Small</v>
      </c>
      <c r="AF287">
        <v>81.75</v>
      </c>
      <c r="AG287" t="str">
        <f>_xlfn.IFNA(_xlfn.IFS(AF287&gt;Dash!$H$46, "Big", AF287&lt;Dash!$H$49, "Small", AF287&gt;Dash!$H$47, "Good"), "Norm")</f>
        <v>Small</v>
      </c>
      <c r="AH287">
        <v>30.25</v>
      </c>
      <c r="AI287" t="str">
        <f>_xlfn.IFNA(_xlfn.IFS(AH287&gt;Dash!$I$46, "Big", AH287&lt;Dash!$I$49, "Small", AH287&gt;Dash!$I$47, "Good"), "Norm")</f>
        <v>Norm</v>
      </c>
    </row>
    <row r="288" spans="1:35" x14ac:dyDescent="0.25">
      <c r="A288" s="1">
        <v>45586</v>
      </c>
      <c r="B288" t="s">
        <v>23</v>
      </c>
      <c r="C288" t="s">
        <v>41</v>
      </c>
      <c r="D288" t="s">
        <v>28</v>
      </c>
      <c r="E288">
        <v>209.5</v>
      </c>
      <c r="F288">
        <v>1000</v>
      </c>
      <c r="G288">
        <v>1000</v>
      </c>
      <c r="J288" t="s">
        <v>27</v>
      </c>
      <c r="K288" t="s">
        <v>39</v>
      </c>
      <c r="L288" t="s">
        <v>35</v>
      </c>
      <c r="M288" t="s">
        <v>36</v>
      </c>
      <c r="N288">
        <v>3</v>
      </c>
      <c r="R288" t="s">
        <v>33</v>
      </c>
      <c r="S288" t="s">
        <v>28</v>
      </c>
      <c r="T288">
        <v>242</v>
      </c>
      <c r="U288" t="str">
        <f>_xlfn.IFNA(_xlfn.IFS(E288&gt;Dash!$D$46, "Big", E288&lt;Dash!$D$49, "Small", E288&gt;Dash!$D$47, "Good"), "Norm")</f>
        <v>Norm</v>
      </c>
      <c r="V288" t="s">
        <v>24</v>
      </c>
      <c r="W288">
        <v>96.75</v>
      </c>
      <c r="X288">
        <v>1</v>
      </c>
      <c r="Y288" s="1">
        <v>45586</v>
      </c>
      <c r="Z288">
        <v>81.75</v>
      </c>
      <c r="AA288" t="str">
        <f>_xlfn.IFNA(_xlfn.IFS(Z288&gt;Dash!$E$46, "Big", Z288&lt;Dash!$E$49, "Small", Z288&gt;Dash!$E$47, "Good"), "Norm")</f>
        <v>Good</v>
      </c>
      <c r="AB288">
        <v>117</v>
      </c>
      <c r="AC288" t="str">
        <f>_xlfn.IFNA(_xlfn.IFS(AB288&gt;Dash!$F$46, "Big", AB288&lt;Dash!$F$49, "Small", AB288&gt;Dash!$F$47, "Good"), "Norm")</f>
        <v>Good</v>
      </c>
      <c r="AD288">
        <v>209.5</v>
      </c>
      <c r="AE288" t="str">
        <f>_xlfn.IFNA(_xlfn.IFS(AD288&gt;Dash!$G$46, "Big", AD288&lt;Dash!$G$49, "Small", AD288&gt;Dash!$G$47, "Good"), "Norm")</f>
        <v>Good</v>
      </c>
      <c r="AF288">
        <v>97</v>
      </c>
      <c r="AG288" t="str">
        <f>_xlfn.IFNA(_xlfn.IFS(AF288&gt;Dash!$H$46, "Big", AF288&lt;Dash!$H$49, "Small", AF288&gt;Dash!$H$47, "Good"), "Norm")</f>
        <v>Norm</v>
      </c>
      <c r="AH288">
        <v>35.5</v>
      </c>
      <c r="AI288" t="str">
        <f>_xlfn.IFNA(_xlfn.IFS(AH288&gt;Dash!$I$46, "Big", AH288&lt;Dash!$I$49, "Small", AH288&gt;Dash!$I$47, "Good"), "Norm")</f>
        <v>Norm</v>
      </c>
    </row>
    <row r="289" spans="1:35" x14ac:dyDescent="0.25">
      <c r="A289" s="1">
        <v>45587</v>
      </c>
      <c r="B289" t="s">
        <v>19</v>
      </c>
      <c r="C289" t="s">
        <v>33</v>
      </c>
      <c r="D289" t="s">
        <v>28</v>
      </c>
      <c r="E289">
        <v>242</v>
      </c>
      <c r="F289">
        <v>1300</v>
      </c>
      <c r="G289">
        <v>1400</v>
      </c>
      <c r="J289" t="s">
        <v>49</v>
      </c>
      <c r="K289" t="s">
        <v>25</v>
      </c>
      <c r="L289" t="s">
        <v>32</v>
      </c>
      <c r="M289" t="s">
        <v>36</v>
      </c>
      <c r="N289">
        <v>3</v>
      </c>
      <c r="R289" t="s">
        <v>20</v>
      </c>
      <c r="S289" t="s">
        <v>14</v>
      </c>
      <c r="T289">
        <v>415.5</v>
      </c>
      <c r="U289" t="str">
        <f>_xlfn.IFNA(_xlfn.IFS(E289&gt;Dash!$D$46, "Big", E289&lt;Dash!$D$49, "Small", E289&gt;Dash!$D$47, "Good"), "Norm")</f>
        <v>Norm</v>
      </c>
      <c r="V289" t="s">
        <v>41</v>
      </c>
      <c r="W289">
        <v>209.5</v>
      </c>
      <c r="X289" t="s">
        <v>28</v>
      </c>
      <c r="Y289" s="1">
        <v>45587</v>
      </c>
      <c r="Z289">
        <v>103.75</v>
      </c>
      <c r="AA289" t="str">
        <f>_xlfn.IFNA(_xlfn.IFS(Z289&gt;Dash!$E$46, "Big", Z289&lt;Dash!$E$49, "Small", Z289&gt;Dash!$E$47, "Good"), "Norm")</f>
        <v>Good</v>
      </c>
      <c r="AB289">
        <v>112.25</v>
      </c>
      <c r="AC289" t="str">
        <f>_xlfn.IFNA(_xlfn.IFS(AB289&gt;Dash!$F$46, "Big", AB289&lt;Dash!$F$49, "Small", AB289&gt;Dash!$F$47, "Good"), "Norm")</f>
        <v>Good</v>
      </c>
      <c r="AD289">
        <v>159.75</v>
      </c>
      <c r="AE289" t="str">
        <f>_xlfn.IFNA(_xlfn.IFS(AD289&gt;Dash!$G$46, "Big", AD289&lt;Dash!$G$49, "Small", AD289&gt;Dash!$G$47, "Good"), "Norm")</f>
        <v>Norm</v>
      </c>
      <c r="AF289">
        <v>177</v>
      </c>
      <c r="AG289" t="str">
        <f>_xlfn.IFNA(_xlfn.IFS(AF289&gt;Dash!$H$46, "Big", AF289&lt;Dash!$H$49, "Small", AF289&gt;Dash!$H$47, "Good"), "Norm")</f>
        <v>Good</v>
      </c>
      <c r="AH289">
        <v>33.75</v>
      </c>
      <c r="AI289" t="str">
        <f>_xlfn.IFNA(_xlfn.IFS(AH289&gt;Dash!$I$46, "Big", AH289&lt;Dash!$I$49, "Small", AH289&gt;Dash!$I$47, "Good"), "Norm")</f>
        <v>Norm</v>
      </c>
    </row>
    <row r="290" spans="1:35" x14ac:dyDescent="0.25">
      <c r="A290" s="1">
        <v>45588</v>
      </c>
      <c r="B290" t="s">
        <v>18</v>
      </c>
      <c r="C290" t="s">
        <v>20</v>
      </c>
      <c r="D290" t="s">
        <v>14</v>
      </c>
      <c r="E290">
        <v>415.5</v>
      </c>
      <c r="F290">
        <v>1000</v>
      </c>
      <c r="G290">
        <v>1000</v>
      </c>
      <c r="J290" t="s">
        <v>45</v>
      </c>
      <c r="K290" t="s">
        <v>22</v>
      </c>
      <c r="L290" t="s">
        <v>17</v>
      </c>
      <c r="M290" t="s">
        <v>36</v>
      </c>
      <c r="N290">
        <v>3</v>
      </c>
      <c r="O290" t="s">
        <v>63</v>
      </c>
      <c r="R290" t="s">
        <v>33</v>
      </c>
      <c r="S290">
        <v>1</v>
      </c>
      <c r="T290">
        <v>166.75</v>
      </c>
      <c r="U290" t="str">
        <f>_xlfn.IFNA(_xlfn.IFS(E290&gt;Dash!$D$46, "Big", E290&lt;Dash!$D$49, "Small", E290&gt;Dash!$D$47, "Good"), "Norm")</f>
        <v>Big</v>
      </c>
      <c r="V290" t="s">
        <v>33</v>
      </c>
      <c r="W290">
        <v>242</v>
      </c>
      <c r="X290" t="s">
        <v>28</v>
      </c>
      <c r="Y290" s="1">
        <v>45588</v>
      </c>
      <c r="Z290">
        <v>45.5</v>
      </c>
      <c r="AA290" t="str">
        <f>_xlfn.IFNA(_xlfn.IFS(Z290&gt;Dash!$E$46, "Big", Z290&lt;Dash!$E$49, "Small", Z290&gt;Dash!$E$47, "Good"), "Norm")</f>
        <v>Norm</v>
      </c>
      <c r="AB290">
        <v>94</v>
      </c>
      <c r="AC290" t="str">
        <f>_xlfn.IFNA(_xlfn.IFS(AB290&gt;Dash!$F$46, "Big", AB290&lt;Dash!$F$49, "Small", AB290&gt;Dash!$F$47, "Good"), "Norm")</f>
        <v>Norm</v>
      </c>
      <c r="AD290">
        <v>191.5</v>
      </c>
      <c r="AE290" t="str">
        <f>_xlfn.IFNA(_xlfn.IFS(AD290&gt;Dash!$G$46, "Big", AD290&lt;Dash!$G$49, "Small", AD290&gt;Dash!$G$47, "Good"), "Norm")</f>
        <v>Norm</v>
      </c>
      <c r="AF290">
        <v>279</v>
      </c>
      <c r="AG290" t="str">
        <f>_xlfn.IFNA(_xlfn.IFS(AF290&gt;Dash!$H$46, "Big", AF290&lt;Dash!$H$49, "Small", AF290&gt;Dash!$H$47, "Good"), "Norm")</f>
        <v>Big</v>
      </c>
      <c r="AH290">
        <v>93.5</v>
      </c>
      <c r="AI290" t="str">
        <f>_xlfn.IFNA(_xlfn.IFS(AH290&gt;Dash!$I$46, "Big", AH290&lt;Dash!$I$49, "Small", AH290&gt;Dash!$I$47, "Good"), "Norm")</f>
        <v>Big</v>
      </c>
    </row>
    <row r="291" spans="1:35" x14ac:dyDescent="0.25">
      <c r="A291" s="1">
        <v>45589</v>
      </c>
      <c r="B291" t="s">
        <v>36</v>
      </c>
      <c r="C291" t="s">
        <v>33</v>
      </c>
      <c r="D291">
        <v>1</v>
      </c>
      <c r="E291">
        <v>166.75</v>
      </c>
      <c r="J291" t="s">
        <v>34</v>
      </c>
      <c r="K291" t="s">
        <v>35</v>
      </c>
      <c r="L291" t="s">
        <v>25</v>
      </c>
      <c r="M291" t="s">
        <v>36</v>
      </c>
      <c r="N291">
        <v>3</v>
      </c>
      <c r="R291" t="s">
        <v>24</v>
      </c>
      <c r="S291" t="s">
        <v>28</v>
      </c>
      <c r="T291">
        <v>264.25</v>
      </c>
      <c r="U291" t="str">
        <f>_xlfn.IFNA(_xlfn.IFS(E291&gt;Dash!$D$46, "Big", E291&lt;Dash!$D$49, "Small", E291&gt;Dash!$D$47, "Good"), "Norm")</f>
        <v>Norm</v>
      </c>
      <c r="V291" t="s">
        <v>20</v>
      </c>
      <c r="W291">
        <v>415.5</v>
      </c>
      <c r="X291" t="s">
        <v>14</v>
      </c>
      <c r="Y291" s="1">
        <v>45589</v>
      </c>
      <c r="Z291">
        <v>75.5</v>
      </c>
      <c r="AA291" t="str">
        <f>_xlfn.IFNA(_xlfn.IFS(Z291&gt;Dash!$E$46, "Big", Z291&lt;Dash!$E$49, "Small", Z291&gt;Dash!$E$47, "Good"), "Norm")</f>
        <v>Norm</v>
      </c>
      <c r="AB291">
        <v>105.25</v>
      </c>
      <c r="AC291" t="str">
        <f>_xlfn.IFNA(_xlfn.IFS(AB291&gt;Dash!$F$46, "Big", AB291&lt;Dash!$F$49, "Small", AB291&gt;Dash!$F$47, "Good"), "Norm")</f>
        <v>Good</v>
      </c>
      <c r="AD291">
        <v>164.25</v>
      </c>
      <c r="AE291" t="str">
        <f>_xlfn.IFNA(_xlfn.IFS(AD291&gt;Dash!$G$46, "Big", AD291&lt;Dash!$G$49, "Small", AD291&gt;Dash!$G$47, "Good"), "Norm")</f>
        <v>Norm</v>
      </c>
      <c r="AF291">
        <v>146.75</v>
      </c>
      <c r="AG291" t="str">
        <f>_xlfn.IFNA(_xlfn.IFS(AF291&gt;Dash!$H$46, "Big", AF291&lt;Dash!$H$49, "Small", AF291&gt;Dash!$H$47, "Good"), "Norm")</f>
        <v>Norm</v>
      </c>
      <c r="AH291">
        <v>42</v>
      </c>
      <c r="AI291" t="str">
        <f>_xlfn.IFNA(_xlfn.IFS(AH291&gt;Dash!$I$46, "Big", AH291&lt;Dash!$I$49, "Small", AH291&gt;Dash!$I$47, "Good"), "Norm")</f>
        <v>Good</v>
      </c>
    </row>
    <row r="292" spans="1:35" x14ac:dyDescent="0.25">
      <c r="A292" s="1">
        <v>45590</v>
      </c>
      <c r="B292" t="s">
        <v>26</v>
      </c>
      <c r="C292" t="s">
        <v>24</v>
      </c>
      <c r="D292" t="s">
        <v>28</v>
      </c>
      <c r="E292">
        <v>264.25</v>
      </c>
      <c r="F292">
        <v>300</v>
      </c>
      <c r="G292">
        <v>400</v>
      </c>
      <c r="J292" t="s">
        <v>30</v>
      </c>
      <c r="K292" t="s">
        <v>31</v>
      </c>
      <c r="L292" t="s">
        <v>35</v>
      </c>
      <c r="M292" t="s">
        <v>36</v>
      </c>
      <c r="N292">
        <v>3</v>
      </c>
      <c r="R292" t="s">
        <v>20</v>
      </c>
      <c r="S292">
        <v>1</v>
      </c>
      <c r="T292">
        <v>179.75</v>
      </c>
      <c r="U292" t="str">
        <f>_xlfn.IFNA(_xlfn.IFS(E292&gt;Dash!$D$46, "Big", E292&lt;Dash!$D$49, "Small", E292&gt;Dash!$D$47, "Good"), "Norm")</f>
        <v>Good</v>
      </c>
      <c r="V292" t="s">
        <v>33</v>
      </c>
      <c r="W292">
        <v>166.75</v>
      </c>
      <c r="X292">
        <v>1</v>
      </c>
      <c r="Y292" s="1">
        <v>45590</v>
      </c>
      <c r="Z292">
        <v>48.75</v>
      </c>
      <c r="AA292" t="str">
        <f>_xlfn.IFNA(_xlfn.IFS(Z292&gt;Dash!$E$46, "Big", Z292&lt;Dash!$E$49, "Small", Z292&gt;Dash!$E$47, "Good"), "Norm")</f>
        <v>Norm</v>
      </c>
      <c r="AB292">
        <v>75.5</v>
      </c>
      <c r="AC292" t="str">
        <f>_xlfn.IFNA(_xlfn.IFS(AB292&gt;Dash!$F$46, "Big", AB292&lt;Dash!$F$49, "Small", AB292&gt;Dash!$F$47, "Good"), "Norm")</f>
        <v>Norm</v>
      </c>
      <c r="AD292">
        <v>264.25</v>
      </c>
      <c r="AE292" t="str">
        <f>_xlfn.IFNA(_xlfn.IFS(AD292&gt;Dash!$G$46, "Big", AD292&lt;Dash!$G$49, "Small", AD292&gt;Dash!$G$47, "Good"), "Norm")</f>
        <v>Good</v>
      </c>
      <c r="AF292">
        <v>204.75</v>
      </c>
      <c r="AG292" t="str">
        <f>_xlfn.IFNA(_xlfn.IFS(AF292&gt;Dash!$H$46, "Big", AF292&lt;Dash!$H$49, "Small", AF292&gt;Dash!$H$47, "Good"), "Norm")</f>
        <v>Good</v>
      </c>
      <c r="AH292">
        <v>32.25</v>
      </c>
      <c r="AI292" t="str">
        <f>_xlfn.IFNA(_xlfn.IFS(AH292&gt;Dash!$I$46, "Big", AH292&lt;Dash!$I$49, "Small", AH292&gt;Dash!$I$47, "Good"), "Norm")</f>
        <v>Norm</v>
      </c>
    </row>
    <row r="293" spans="1:35" x14ac:dyDescent="0.25">
      <c r="A293" s="1">
        <v>45593</v>
      </c>
      <c r="B293" t="s">
        <v>23</v>
      </c>
      <c r="C293" t="s">
        <v>20</v>
      </c>
      <c r="D293">
        <v>1</v>
      </c>
      <c r="E293">
        <v>179.75</v>
      </c>
      <c r="J293" t="s">
        <v>34</v>
      </c>
      <c r="K293" t="s">
        <v>22</v>
      </c>
      <c r="L293" t="s">
        <v>17</v>
      </c>
      <c r="M293" t="s">
        <v>19</v>
      </c>
      <c r="N293">
        <v>11</v>
      </c>
      <c r="R293" t="s">
        <v>33</v>
      </c>
      <c r="S293" t="s">
        <v>38</v>
      </c>
      <c r="T293">
        <v>314.25</v>
      </c>
      <c r="U293" t="str">
        <f>_xlfn.IFNA(_xlfn.IFS(E293&gt;Dash!$D$46, "Big", E293&lt;Dash!$D$49, "Small", E293&gt;Dash!$D$47, "Good"), "Norm")</f>
        <v>Norm</v>
      </c>
      <c r="V293" t="s">
        <v>24</v>
      </c>
      <c r="W293">
        <v>264.25</v>
      </c>
      <c r="X293" t="s">
        <v>28</v>
      </c>
      <c r="Y293" s="1">
        <v>45593</v>
      </c>
      <c r="Z293">
        <v>133.25</v>
      </c>
      <c r="AA293" t="str">
        <f>_xlfn.IFNA(_xlfn.IFS(Z293&gt;Dash!$E$46, "Big", Z293&lt;Dash!$E$49, "Small", Z293&gt;Dash!$E$47, "Good"), "Norm")</f>
        <v>Good</v>
      </c>
      <c r="AB293">
        <v>74.75</v>
      </c>
      <c r="AC293" t="str">
        <f>_xlfn.IFNA(_xlfn.IFS(AB293&gt;Dash!$F$46, "Big", AB293&lt;Dash!$F$49, "Small", AB293&gt;Dash!$F$47, "Good"), "Norm")</f>
        <v>Norm</v>
      </c>
      <c r="AD293">
        <v>145.25</v>
      </c>
      <c r="AE293" t="str">
        <f>_xlfn.IFNA(_xlfn.IFS(AD293&gt;Dash!$G$46, "Big", AD293&lt;Dash!$G$49, "Small", AD293&gt;Dash!$G$47, "Good"), "Norm")</f>
        <v>Norm</v>
      </c>
      <c r="AF293">
        <v>85.5</v>
      </c>
      <c r="AG293" t="str">
        <f>_xlfn.IFNA(_xlfn.IFS(AF293&gt;Dash!$H$46, "Big", AF293&lt;Dash!$H$49, "Small", AF293&gt;Dash!$H$47, "Good"), "Norm")</f>
        <v>Small</v>
      </c>
      <c r="AH293">
        <v>32.75</v>
      </c>
      <c r="AI293" t="str">
        <f>_xlfn.IFNA(_xlfn.IFS(AH293&gt;Dash!$I$46, "Big", AH293&lt;Dash!$I$49, "Small", AH293&gt;Dash!$I$47, "Good"), "Norm")</f>
        <v>Norm</v>
      </c>
    </row>
    <row r="294" spans="1:35" x14ac:dyDescent="0.25">
      <c r="A294" s="1">
        <v>45594</v>
      </c>
      <c r="B294" t="s">
        <v>19</v>
      </c>
      <c r="C294" t="s">
        <v>33</v>
      </c>
      <c r="D294" t="s">
        <v>38</v>
      </c>
      <c r="E294">
        <v>314.25</v>
      </c>
      <c r="F294">
        <v>2000</v>
      </c>
      <c r="G294">
        <v>2000</v>
      </c>
      <c r="H294">
        <v>1300</v>
      </c>
      <c r="J294" t="s">
        <v>45</v>
      </c>
      <c r="K294" t="s">
        <v>25</v>
      </c>
      <c r="L294" t="s">
        <v>32</v>
      </c>
      <c r="M294" t="s">
        <v>19</v>
      </c>
      <c r="N294">
        <v>11</v>
      </c>
      <c r="O294" t="s">
        <v>75</v>
      </c>
      <c r="R294" t="s">
        <v>13</v>
      </c>
      <c r="S294" t="s">
        <v>14</v>
      </c>
      <c r="T294">
        <v>219.75</v>
      </c>
      <c r="U294" t="str">
        <f>_xlfn.IFNA(_xlfn.IFS(E294&gt;Dash!$D$46, "Big", E294&lt;Dash!$D$49, "Small", E294&gt;Dash!$D$47, "Good"), "Norm")</f>
        <v>Good</v>
      </c>
      <c r="V294" t="s">
        <v>20</v>
      </c>
      <c r="W294">
        <v>179.75</v>
      </c>
      <c r="X294">
        <v>1</v>
      </c>
      <c r="Y294" s="1">
        <v>45594</v>
      </c>
      <c r="Z294">
        <v>74.5</v>
      </c>
      <c r="AA294" t="str">
        <f>_xlfn.IFNA(_xlfn.IFS(Z294&gt;Dash!$E$46, "Big", Z294&lt;Dash!$E$49, "Small", Z294&gt;Dash!$E$47, "Good"), "Norm")</f>
        <v>Norm</v>
      </c>
      <c r="AB294">
        <v>73</v>
      </c>
      <c r="AC294" t="str">
        <f>_xlfn.IFNA(_xlfn.IFS(AB294&gt;Dash!$F$46, "Big", AB294&lt;Dash!$F$49, "Small", AB294&gt;Dash!$F$47, "Good"), "Norm")</f>
        <v>Norm</v>
      </c>
      <c r="AD294">
        <v>193</v>
      </c>
      <c r="AE294" t="str">
        <f>_xlfn.IFNA(_xlfn.IFS(AD294&gt;Dash!$G$46, "Big", AD294&lt;Dash!$G$49, "Small", AD294&gt;Dash!$G$47, "Good"), "Norm")</f>
        <v>Norm</v>
      </c>
      <c r="AF294">
        <v>161.24</v>
      </c>
      <c r="AG294" t="str">
        <f>_xlfn.IFNA(_xlfn.IFS(AF294&gt;Dash!$H$46, "Big", AF294&lt;Dash!$H$49, "Small", AF294&gt;Dash!$H$47, "Good"), "Norm")</f>
        <v>Good</v>
      </c>
      <c r="AH294">
        <v>71.5</v>
      </c>
      <c r="AI294" t="str">
        <f>_xlfn.IFNA(_xlfn.IFS(AH294&gt;Dash!$I$46, "Big", AH294&lt;Dash!$I$49, "Small", AH294&gt;Dash!$I$47, "Good"), "Norm")</f>
        <v>Good</v>
      </c>
    </row>
    <row r="295" spans="1:35" x14ac:dyDescent="0.25">
      <c r="A295" s="1">
        <v>45595</v>
      </c>
      <c r="B295" t="s">
        <v>18</v>
      </c>
      <c r="C295" t="s">
        <v>13</v>
      </c>
      <c r="D295" t="s">
        <v>14</v>
      </c>
      <c r="E295">
        <v>219.75</v>
      </c>
      <c r="F295">
        <v>2000</v>
      </c>
      <c r="G295">
        <v>2200</v>
      </c>
      <c r="J295" t="s">
        <v>29</v>
      </c>
      <c r="K295" t="s">
        <v>16</v>
      </c>
      <c r="L295" t="s">
        <v>42</v>
      </c>
      <c r="M295" t="s">
        <v>19</v>
      </c>
      <c r="N295">
        <v>11</v>
      </c>
      <c r="O295" t="s">
        <v>76</v>
      </c>
      <c r="R295" t="s">
        <v>13</v>
      </c>
      <c r="S295" t="s">
        <v>14</v>
      </c>
      <c r="T295">
        <v>407.75</v>
      </c>
      <c r="U295" t="str">
        <f>_xlfn.IFNA(_xlfn.IFS(E295&gt;Dash!$D$46, "Big", E295&lt;Dash!$D$49, "Small", E295&gt;Dash!$D$47, "Good"), "Norm")</f>
        <v>Norm</v>
      </c>
      <c r="V295" t="s">
        <v>33</v>
      </c>
      <c r="W295">
        <v>314.25</v>
      </c>
      <c r="X295" t="s">
        <v>38</v>
      </c>
      <c r="Y295" s="1">
        <v>45595</v>
      </c>
      <c r="Z295">
        <v>86</v>
      </c>
      <c r="AA295" t="str">
        <f>_xlfn.IFNA(_xlfn.IFS(Z295&gt;Dash!$E$46, "Big", Z295&lt;Dash!$E$49, "Small", Z295&gt;Dash!$E$47, "Good"), "Norm")</f>
        <v>Good</v>
      </c>
      <c r="AB295">
        <v>58.75</v>
      </c>
      <c r="AC295" t="str">
        <f>_xlfn.IFNA(_xlfn.IFS(AB295&gt;Dash!$F$46, "Big", AB295&lt;Dash!$F$49, "Small", AB295&gt;Dash!$F$47, "Good"), "Norm")</f>
        <v>Norm</v>
      </c>
      <c r="AD295">
        <v>191.75</v>
      </c>
      <c r="AE295" t="str">
        <f>_xlfn.IFNA(_xlfn.IFS(AD295&gt;Dash!$G$46, "Big", AD295&lt;Dash!$G$49, "Small", AD295&gt;Dash!$G$47, "Good"), "Norm")</f>
        <v>Norm</v>
      </c>
      <c r="AF295">
        <v>168</v>
      </c>
      <c r="AG295" t="str">
        <f>_xlfn.IFNA(_xlfn.IFS(AF295&gt;Dash!$H$46, "Big", AF295&lt;Dash!$H$49, "Small", AF295&gt;Dash!$H$47, "Good"), "Norm")</f>
        <v>Good</v>
      </c>
      <c r="AH295">
        <v>116.25</v>
      </c>
      <c r="AI295" t="str">
        <f>_xlfn.IFNA(_xlfn.IFS(AH295&gt;Dash!$I$46, "Big", AH295&lt;Dash!$I$49, "Small", AH295&gt;Dash!$I$47, "Good"), "Norm")</f>
        <v>Big</v>
      </c>
    </row>
    <row r="296" spans="1:35" x14ac:dyDescent="0.25">
      <c r="A296" s="1">
        <v>45596</v>
      </c>
      <c r="B296" t="s">
        <v>36</v>
      </c>
      <c r="C296" t="s">
        <v>13</v>
      </c>
      <c r="D296" t="s">
        <v>14</v>
      </c>
      <c r="E296">
        <v>407.75</v>
      </c>
      <c r="F296">
        <v>1800</v>
      </c>
      <c r="J296" t="s">
        <v>37</v>
      </c>
      <c r="K296" t="s">
        <v>16</v>
      </c>
      <c r="L296" t="s">
        <v>17</v>
      </c>
      <c r="M296" t="s">
        <v>19</v>
      </c>
      <c r="N296">
        <v>11</v>
      </c>
      <c r="O296" t="s">
        <v>73</v>
      </c>
      <c r="R296" t="s">
        <v>24</v>
      </c>
      <c r="S296">
        <v>1</v>
      </c>
      <c r="T296">
        <v>230.5</v>
      </c>
      <c r="U296" t="str">
        <f>_xlfn.IFNA(_xlfn.IFS(E296&gt;Dash!$D$46, "Big", E296&lt;Dash!$D$49, "Small", E296&gt;Dash!$D$47, "Good"), "Norm")</f>
        <v>Big</v>
      </c>
      <c r="V296" t="s">
        <v>13</v>
      </c>
      <c r="W296">
        <v>219.75</v>
      </c>
      <c r="X296" t="s">
        <v>14</v>
      </c>
      <c r="Y296" s="1">
        <v>45596</v>
      </c>
      <c r="Z296">
        <v>111.75</v>
      </c>
      <c r="AA296" t="str">
        <f>_xlfn.IFNA(_xlfn.IFS(Z296&gt;Dash!$E$46, "Big", Z296&lt;Dash!$E$49, "Small", Z296&gt;Dash!$E$47, "Good"), "Norm")</f>
        <v>Good</v>
      </c>
      <c r="AB296">
        <v>109.75</v>
      </c>
      <c r="AC296" t="str">
        <f>_xlfn.IFNA(_xlfn.IFS(AB296&gt;Dash!$F$46, "Big", AB296&lt;Dash!$F$49, "Small", AB296&gt;Dash!$F$47, "Good"), "Norm")</f>
        <v>Good</v>
      </c>
      <c r="AD296">
        <v>393.75</v>
      </c>
      <c r="AE296" t="str">
        <f>_xlfn.IFNA(_xlfn.IFS(AD296&gt;Dash!$G$46, "Big", AD296&lt;Dash!$G$49, "Small", AD296&gt;Dash!$G$47, "Good"), "Norm")</f>
        <v>Big</v>
      </c>
      <c r="AF296">
        <v>122.75</v>
      </c>
      <c r="AG296" t="str">
        <f>_xlfn.IFNA(_xlfn.IFS(AF296&gt;Dash!$H$46, "Big", AF296&lt;Dash!$H$49, "Small", AF296&gt;Dash!$H$47, "Good"), "Norm")</f>
        <v>Norm</v>
      </c>
      <c r="AH296">
        <v>92</v>
      </c>
      <c r="AI296" t="str">
        <f>_xlfn.IFNA(_xlfn.IFS(AH296&gt;Dash!$I$46, "Big", AH296&lt;Dash!$I$49, "Small", AH296&gt;Dash!$I$47, "Good"), "Norm")</f>
        <v>Big</v>
      </c>
    </row>
    <row r="297" spans="1:35" x14ac:dyDescent="0.25">
      <c r="A297" s="1">
        <v>45597</v>
      </c>
      <c r="B297" t="s">
        <v>26</v>
      </c>
      <c r="C297" t="s">
        <v>24</v>
      </c>
      <c r="D297">
        <v>1</v>
      </c>
      <c r="E297">
        <v>230.5</v>
      </c>
      <c r="J297" t="s">
        <v>34</v>
      </c>
      <c r="K297" t="s">
        <v>31</v>
      </c>
      <c r="L297" t="s">
        <v>35</v>
      </c>
      <c r="M297" t="s">
        <v>19</v>
      </c>
      <c r="N297">
        <v>11</v>
      </c>
      <c r="R297" t="s">
        <v>24</v>
      </c>
      <c r="S297" t="s">
        <v>14</v>
      </c>
      <c r="T297">
        <v>213.75</v>
      </c>
      <c r="U297" t="str">
        <f>_xlfn.IFNA(_xlfn.IFS(E297&gt;Dash!$D$46, "Big", E297&lt;Dash!$D$49, "Small", E297&gt;Dash!$D$47, "Good"), "Norm")</f>
        <v>Norm</v>
      </c>
      <c r="V297" t="s">
        <v>13</v>
      </c>
      <c r="W297">
        <v>407.75</v>
      </c>
      <c r="X297" t="s">
        <v>14</v>
      </c>
      <c r="Y297" s="1">
        <v>45597</v>
      </c>
      <c r="Z297">
        <v>110</v>
      </c>
      <c r="AA297" t="str">
        <f>_xlfn.IFNA(_xlfn.IFS(Z297&gt;Dash!$E$46, "Big", Z297&lt;Dash!$E$49, "Small", Z297&gt;Dash!$E$47, "Good"), "Norm")</f>
        <v>Good</v>
      </c>
      <c r="AB297">
        <v>76.5</v>
      </c>
      <c r="AC297" t="str">
        <f>_xlfn.IFNA(_xlfn.IFS(AB297&gt;Dash!$F$46, "Big", AB297&lt;Dash!$F$49, "Small", AB297&gt;Dash!$F$47, "Good"), "Norm")</f>
        <v>Norm</v>
      </c>
      <c r="AD297">
        <v>230.5</v>
      </c>
      <c r="AE297" t="str">
        <f>_xlfn.IFNA(_xlfn.IFS(AD297&gt;Dash!$G$46, "Big", AD297&lt;Dash!$G$49, "Small", AD297&gt;Dash!$G$47, "Good"), "Norm")</f>
        <v>Good</v>
      </c>
      <c r="AF297">
        <v>131</v>
      </c>
      <c r="AG297" t="str">
        <f>_xlfn.IFNA(_xlfn.IFS(AF297&gt;Dash!$H$46, "Big", AF297&lt;Dash!$H$49, "Small", AF297&gt;Dash!$H$47, "Good"), "Norm")</f>
        <v>Norm</v>
      </c>
      <c r="AH297">
        <v>39</v>
      </c>
      <c r="AI297" t="str">
        <f>_xlfn.IFNA(_xlfn.IFS(AH297&gt;Dash!$I$46, "Big", AH297&lt;Dash!$I$49, "Small", AH297&gt;Dash!$I$47, "Good"), "Norm")</f>
        <v>Good</v>
      </c>
    </row>
    <row r="298" spans="1:35" x14ac:dyDescent="0.25">
      <c r="A298" s="1">
        <v>45600</v>
      </c>
      <c r="B298" t="s">
        <v>23</v>
      </c>
      <c r="C298" t="s">
        <v>24</v>
      </c>
      <c r="D298" t="s">
        <v>14</v>
      </c>
      <c r="E298">
        <v>213.75</v>
      </c>
      <c r="F298">
        <v>900</v>
      </c>
      <c r="G298">
        <v>900</v>
      </c>
      <c r="J298" t="s">
        <v>45</v>
      </c>
      <c r="K298" t="s">
        <v>16</v>
      </c>
      <c r="L298" t="s">
        <v>25</v>
      </c>
      <c r="M298" t="s">
        <v>19</v>
      </c>
      <c r="N298">
        <v>7</v>
      </c>
      <c r="R298" t="s">
        <v>13</v>
      </c>
      <c r="S298" t="s">
        <v>28</v>
      </c>
      <c r="T298">
        <v>265.25</v>
      </c>
      <c r="U298" t="str">
        <f>_xlfn.IFNA(_xlfn.IFS(E298&gt;Dash!$D$46, "Big", E298&lt;Dash!$D$49, "Small", E298&gt;Dash!$D$47, "Good"), "Norm")</f>
        <v>Norm</v>
      </c>
      <c r="V298" t="s">
        <v>24</v>
      </c>
      <c r="W298">
        <v>230.5</v>
      </c>
      <c r="X298">
        <v>1</v>
      </c>
      <c r="Y298" s="1">
        <v>45600</v>
      </c>
      <c r="Z298">
        <v>178</v>
      </c>
      <c r="AA298" t="str">
        <f>_xlfn.IFNA(_xlfn.IFS(Z298&gt;Dash!$E$46, "Big", Z298&lt;Dash!$E$49, "Small", Z298&gt;Dash!$E$47, "Good"), "Norm")</f>
        <v>Big</v>
      </c>
      <c r="AB298">
        <v>143</v>
      </c>
      <c r="AC298" t="str">
        <f>_xlfn.IFNA(_xlfn.IFS(AB298&gt;Dash!$F$46, "Big", AB298&lt;Dash!$F$49, "Small", AB298&gt;Dash!$F$47, "Good"), "Norm")</f>
        <v>Good</v>
      </c>
      <c r="AD298">
        <v>213.75</v>
      </c>
      <c r="AE298" t="str">
        <f>_xlfn.IFNA(_xlfn.IFS(AD298&gt;Dash!$G$46, "Big", AD298&lt;Dash!$G$49, "Small", AD298&gt;Dash!$G$47, "Good"), "Norm")</f>
        <v>Good</v>
      </c>
      <c r="AF298">
        <v>147</v>
      </c>
      <c r="AG298" t="str">
        <f>_xlfn.IFNA(_xlfn.IFS(AF298&gt;Dash!$H$46, "Big", AF298&lt;Dash!$H$49, "Small", AF298&gt;Dash!$H$47, "Good"), "Norm")</f>
        <v>Norm</v>
      </c>
      <c r="AH298">
        <v>43</v>
      </c>
      <c r="AI298" t="str">
        <f>_xlfn.IFNA(_xlfn.IFS(AH298&gt;Dash!$I$46, "Big", AH298&lt;Dash!$I$49, "Small", AH298&gt;Dash!$I$47, "Good"), "Norm")</f>
        <v>Good</v>
      </c>
    </row>
    <row r="299" spans="1:35" x14ac:dyDescent="0.25">
      <c r="A299" s="1">
        <v>45601</v>
      </c>
      <c r="B299" t="s">
        <v>19</v>
      </c>
      <c r="C299" t="s">
        <v>13</v>
      </c>
      <c r="D299" t="s">
        <v>28</v>
      </c>
      <c r="E299">
        <v>265.25</v>
      </c>
      <c r="F299">
        <v>900</v>
      </c>
      <c r="J299" t="s">
        <v>27</v>
      </c>
      <c r="K299" t="s">
        <v>31</v>
      </c>
      <c r="L299" t="s">
        <v>44</v>
      </c>
      <c r="M299" t="s">
        <v>19</v>
      </c>
      <c r="N299">
        <v>7</v>
      </c>
      <c r="R299" t="s">
        <v>13</v>
      </c>
      <c r="S299" t="s">
        <v>28</v>
      </c>
      <c r="T299">
        <v>287</v>
      </c>
      <c r="U299" t="str">
        <f>_xlfn.IFNA(_xlfn.IFS(E299&gt;Dash!$D$46, "Big", E299&lt;Dash!$D$49, "Small", E299&gt;Dash!$D$47, "Good"), "Norm")</f>
        <v>Good</v>
      </c>
      <c r="V299" t="s">
        <v>24</v>
      </c>
      <c r="W299">
        <v>213.75</v>
      </c>
      <c r="X299" t="s">
        <v>14</v>
      </c>
      <c r="Y299" s="1">
        <v>45601</v>
      </c>
      <c r="Z299">
        <v>90.25</v>
      </c>
      <c r="AA299" t="str">
        <f>_xlfn.IFNA(_xlfn.IFS(Z299&gt;Dash!$E$46, "Big", Z299&lt;Dash!$E$49, "Small", Z299&gt;Dash!$E$47, "Good"), "Norm")</f>
        <v>Good</v>
      </c>
      <c r="AB299">
        <v>69.5</v>
      </c>
      <c r="AC299" t="str">
        <f>_xlfn.IFNA(_xlfn.IFS(AB299&gt;Dash!$F$46, "Big", AB299&lt;Dash!$F$49, "Small", AB299&gt;Dash!$F$47, "Good"), "Norm")</f>
        <v>Norm</v>
      </c>
      <c r="AD299">
        <v>240.25</v>
      </c>
      <c r="AE299" t="str">
        <f>_xlfn.IFNA(_xlfn.IFS(AD299&gt;Dash!$G$46, "Big", AD299&lt;Dash!$G$49, "Small", AD299&gt;Dash!$G$47, "Good"), "Norm")</f>
        <v>Good</v>
      </c>
      <c r="AF299">
        <v>92.25</v>
      </c>
      <c r="AG299" t="str">
        <f>_xlfn.IFNA(_xlfn.IFS(AF299&gt;Dash!$H$46, "Big", AF299&lt;Dash!$H$49, "Small", AF299&gt;Dash!$H$47, "Good"), "Norm")</f>
        <v>Small</v>
      </c>
      <c r="AH299">
        <v>48</v>
      </c>
      <c r="AI299" t="str">
        <f>_xlfn.IFNA(_xlfn.IFS(AH299&gt;Dash!$I$46, "Big", AH299&lt;Dash!$I$49, "Small", AH299&gt;Dash!$I$47, "Good"), "Norm")</f>
        <v>Good</v>
      </c>
    </row>
    <row r="300" spans="1:35" x14ac:dyDescent="0.25">
      <c r="A300" s="1">
        <v>45602</v>
      </c>
      <c r="B300" t="s">
        <v>18</v>
      </c>
      <c r="C300" t="s">
        <v>13</v>
      </c>
      <c r="D300" t="s">
        <v>28</v>
      </c>
      <c r="E300">
        <v>287</v>
      </c>
      <c r="F300">
        <v>1900</v>
      </c>
      <c r="J300" t="s">
        <v>29</v>
      </c>
      <c r="K300" t="s">
        <v>31</v>
      </c>
      <c r="L300" t="s">
        <v>44</v>
      </c>
      <c r="M300" t="s">
        <v>19</v>
      </c>
      <c r="N300">
        <v>7</v>
      </c>
      <c r="R300" t="s">
        <v>13</v>
      </c>
      <c r="S300" t="s">
        <v>28</v>
      </c>
      <c r="T300">
        <v>294.75</v>
      </c>
      <c r="U300" t="str">
        <f>_xlfn.IFNA(_xlfn.IFS(E300&gt;Dash!$D$46, "Big", E300&lt;Dash!$D$49, "Small", E300&gt;Dash!$D$47, "Good"), "Norm")</f>
        <v>Good</v>
      </c>
      <c r="V300" t="s">
        <v>13</v>
      </c>
      <c r="W300">
        <v>265.25</v>
      </c>
      <c r="X300" t="s">
        <v>28</v>
      </c>
      <c r="Y300" s="1">
        <v>45602</v>
      </c>
      <c r="Z300">
        <v>345.75</v>
      </c>
      <c r="AA300" t="str">
        <f>_xlfn.IFNA(_xlfn.IFS(Z300&gt;Dash!$E$46, "Big", Z300&lt;Dash!$E$49, "Small", Z300&gt;Dash!$E$47, "Good"), "Norm")</f>
        <v>Big</v>
      </c>
      <c r="AB300">
        <v>151.25</v>
      </c>
      <c r="AC300" t="str">
        <f>_xlfn.IFNA(_xlfn.IFS(AB300&gt;Dash!$F$46, "Big", AB300&lt;Dash!$F$49, "Small", AB300&gt;Dash!$F$47, "Good"), "Norm")</f>
        <v>Good</v>
      </c>
      <c r="AD300">
        <v>178</v>
      </c>
      <c r="AE300" t="str">
        <f>_xlfn.IFNA(_xlfn.IFS(AD300&gt;Dash!$G$46, "Big", AD300&lt;Dash!$G$49, "Small", AD300&gt;Dash!$G$47, "Good"), "Norm")</f>
        <v>Norm</v>
      </c>
      <c r="AF300">
        <v>152.75</v>
      </c>
      <c r="AG300" t="str">
        <f>_xlfn.IFNA(_xlfn.IFS(AF300&gt;Dash!$H$46, "Big", AF300&lt;Dash!$H$49, "Small", AF300&gt;Dash!$H$47, "Good"), "Norm")</f>
        <v>Good</v>
      </c>
      <c r="AH300">
        <v>49.75</v>
      </c>
      <c r="AI300" t="str">
        <f>_xlfn.IFNA(_xlfn.IFS(AH300&gt;Dash!$I$46, "Big", AH300&lt;Dash!$I$49, "Small", AH300&gt;Dash!$I$47, "Good"), "Norm")</f>
        <v>Good</v>
      </c>
    </row>
    <row r="301" spans="1:35" x14ac:dyDescent="0.25">
      <c r="A301" s="1">
        <v>45603</v>
      </c>
      <c r="B301" t="s">
        <v>36</v>
      </c>
      <c r="C301" t="s">
        <v>13</v>
      </c>
      <c r="D301" t="s">
        <v>28</v>
      </c>
      <c r="E301">
        <v>294.75</v>
      </c>
      <c r="F301">
        <v>2200</v>
      </c>
      <c r="G301">
        <v>2200</v>
      </c>
      <c r="J301" t="s">
        <v>29</v>
      </c>
      <c r="K301" t="s">
        <v>31</v>
      </c>
      <c r="L301" t="s">
        <v>32</v>
      </c>
      <c r="M301" t="s">
        <v>19</v>
      </c>
      <c r="N301">
        <v>7</v>
      </c>
      <c r="R301" t="s">
        <v>20</v>
      </c>
      <c r="S301" t="s">
        <v>28</v>
      </c>
      <c r="T301">
        <v>108.75</v>
      </c>
      <c r="U301" t="str">
        <f>_xlfn.IFNA(_xlfn.IFS(E301&gt;Dash!$D$46, "Big", E301&lt;Dash!$D$49, "Small", E301&gt;Dash!$D$47, "Good"), "Norm")</f>
        <v>Good</v>
      </c>
      <c r="V301" t="s">
        <v>13</v>
      </c>
      <c r="W301">
        <v>287</v>
      </c>
      <c r="X301" t="s">
        <v>28</v>
      </c>
      <c r="Y301" s="1">
        <v>45603</v>
      </c>
      <c r="Z301">
        <v>104.75</v>
      </c>
      <c r="AA301" t="str">
        <f>_xlfn.IFNA(_xlfn.IFS(Z301&gt;Dash!$E$46, "Big", Z301&lt;Dash!$E$49, "Small", Z301&gt;Dash!$E$47, "Good"), "Norm")</f>
        <v>Good</v>
      </c>
      <c r="AB301">
        <v>69.25</v>
      </c>
      <c r="AC301" t="str">
        <f>_xlfn.IFNA(_xlfn.IFS(AB301&gt;Dash!$F$46, "Big", AB301&lt;Dash!$F$49, "Small", AB301&gt;Dash!$F$47, "Good"), "Norm")</f>
        <v>Norm</v>
      </c>
      <c r="AD301">
        <v>240.75</v>
      </c>
      <c r="AE301" t="str">
        <f>_xlfn.IFNA(_xlfn.IFS(AD301&gt;Dash!$G$46, "Big", AD301&lt;Dash!$G$49, "Small", AD301&gt;Dash!$G$47, "Good"), "Norm")</f>
        <v>Good</v>
      </c>
      <c r="AF301">
        <v>101.75</v>
      </c>
      <c r="AG301" t="str">
        <f>_xlfn.IFNA(_xlfn.IFS(AF301&gt;Dash!$H$46, "Big", AF301&lt;Dash!$H$49, "Small", AF301&gt;Dash!$H$47, "Good"), "Norm")</f>
        <v>Norm</v>
      </c>
      <c r="AH301">
        <v>42.75</v>
      </c>
      <c r="AI301" t="str">
        <f>_xlfn.IFNA(_xlfn.IFS(AH301&gt;Dash!$I$46, "Big", AH301&lt;Dash!$I$49, "Small", AH301&gt;Dash!$I$47, "Good"), "Norm")</f>
        <v>Good</v>
      </c>
    </row>
    <row r="302" spans="1:35" x14ac:dyDescent="0.25">
      <c r="A302" s="1">
        <v>45604</v>
      </c>
      <c r="B302" t="s">
        <v>26</v>
      </c>
      <c r="C302" t="s">
        <v>20</v>
      </c>
      <c r="D302" t="s">
        <v>28</v>
      </c>
      <c r="E302">
        <v>108.75</v>
      </c>
      <c r="F302" t="s">
        <v>163</v>
      </c>
      <c r="G302" t="s">
        <v>163</v>
      </c>
      <c r="J302" t="s">
        <v>29</v>
      </c>
      <c r="K302" t="s">
        <v>39</v>
      </c>
      <c r="L302" t="s">
        <v>32</v>
      </c>
      <c r="M302" t="s">
        <v>19</v>
      </c>
      <c r="N302">
        <v>7</v>
      </c>
      <c r="R302" t="s">
        <v>33</v>
      </c>
      <c r="S302" t="s">
        <v>48</v>
      </c>
      <c r="T302">
        <v>242.5</v>
      </c>
      <c r="U302" t="str">
        <f>_xlfn.IFNA(_xlfn.IFS(E302&gt;Dash!$D$46, "Big", E302&lt;Dash!$D$49, "Small", E302&gt;Dash!$D$47, "Good"), "Norm")</f>
        <v>Small</v>
      </c>
      <c r="V302" t="s">
        <v>13</v>
      </c>
      <c r="W302">
        <v>294.75</v>
      </c>
      <c r="X302" t="s">
        <v>28</v>
      </c>
      <c r="Y302" s="1">
        <v>45604</v>
      </c>
      <c r="Z302">
        <v>60.75</v>
      </c>
      <c r="AA302" t="str">
        <f>_xlfn.IFNA(_xlfn.IFS(Z302&gt;Dash!$E$46, "Big", Z302&lt;Dash!$E$49, "Small", Z302&gt;Dash!$E$47, "Good"), "Norm")</f>
        <v>Norm</v>
      </c>
      <c r="AB302">
        <v>128.75</v>
      </c>
      <c r="AC302" t="str">
        <f>_xlfn.IFNA(_xlfn.IFS(AB302&gt;Dash!$F$46, "Big", AB302&lt;Dash!$F$49, "Small", AB302&gt;Dash!$F$47, "Good"), "Norm")</f>
        <v>Good</v>
      </c>
      <c r="AD302">
        <v>80.25</v>
      </c>
      <c r="AE302" t="str">
        <f>_xlfn.IFNA(_xlfn.IFS(AD302&gt;Dash!$G$46, "Big", AD302&lt;Dash!$G$49, "Small", AD302&gt;Dash!$G$47, "Good"), "Norm")</f>
        <v>Small</v>
      </c>
      <c r="AF302">
        <v>68.5</v>
      </c>
      <c r="AG302" t="str">
        <f>_xlfn.IFNA(_xlfn.IFS(AF302&gt;Dash!$H$46, "Big", AF302&lt;Dash!$H$49, "Small", AF302&gt;Dash!$H$47, "Good"), "Norm")</f>
        <v>Small</v>
      </c>
      <c r="AH302">
        <v>19.25</v>
      </c>
      <c r="AI302" t="str">
        <f>_xlfn.IFNA(_xlfn.IFS(AH302&gt;Dash!$I$46, "Big", AH302&lt;Dash!$I$49, "Small", AH302&gt;Dash!$I$47, "Good"), "Norm")</f>
        <v>Small</v>
      </c>
    </row>
    <row r="303" spans="1:35" x14ac:dyDescent="0.25">
      <c r="A303" s="1">
        <v>45607</v>
      </c>
      <c r="B303" t="s">
        <v>23</v>
      </c>
      <c r="C303" t="s">
        <v>33</v>
      </c>
      <c r="D303" t="s">
        <v>48</v>
      </c>
      <c r="E303">
        <v>242.5</v>
      </c>
      <c r="F303">
        <v>1800</v>
      </c>
      <c r="G303">
        <v>900</v>
      </c>
      <c r="H303">
        <v>1300</v>
      </c>
      <c r="I303">
        <v>1300</v>
      </c>
      <c r="J303" t="s">
        <v>29</v>
      </c>
      <c r="K303" t="s">
        <v>35</v>
      </c>
      <c r="L303" t="s">
        <v>17</v>
      </c>
      <c r="M303" t="s">
        <v>18</v>
      </c>
      <c r="N303">
        <v>9</v>
      </c>
      <c r="R303" t="s">
        <v>33</v>
      </c>
      <c r="S303" t="s">
        <v>14</v>
      </c>
      <c r="T303">
        <v>197</v>
      </c>
      <c r="U303" t="str">
        <f>_xlfn.IFNA(_xlfn.IFS(E303&gt;Dash!$D$46, "Big", E303&lt;Dash!$D$49, "Small", E303&gt;Dash!$D$47, "Good"), "Norm")</f>
        <v>Norm</v>
      </c>
      <c r="V303" t="s">
        <v>20</v>
      </c>
      <c r="W303">
        <v>108.75</v>
      </c>
      <c r="X303" t="s">
        <v>28</v>
      </c>
      <c r="Y303" s="1">
        <v>45607</v>
      </c>
      <c r="Z303">
        <v>61.75</v>
      </c>
      <c r="AA303" t="str">
        <f>_xlfn.IFNA(_xlfn.IFS(Z303&gt;Dash!$E$46, "Big", Z303&lt;Dash!$E$49, "Small", Z303&gt;Dash!$E$47, "Good"), "Norm")</f>
        <v>Norm</v>
      </c>
      <c r="AB303">
        <v>67.75</v>
      </c>
      <c r="AC303" t="str">
        <f>_xlfn.IFNA(_xlfn.IFS(AB303&gt;Dash!$F$46, "Big", AB303&lt;Dash!$F$49, "Small", AB303&gt;Dash!$F$47, "Good"), "Norm")</f>
        <v>Norm</v>
      </c>
      <c r="AD303">
        <v>185.5</v>
      </c>
      <c r="AE303" t="str">
        <f>_xlfn.IFNA(_xlfn.IFS(AD303&gt;Dash!$G$46, "Big", AD303&lt;Dash!$G$49, "Small", AD303&gt;Dash!$G$47, "Good"), "Norm")</f>
        <v>Norm</v>
      </c>
      <c r="AF303">
        <v>125.25</v>
      </c>
      <c r="AG303" t="str">
        <f>_xlfn.IFNA(_xlfn.IFS(AF303&gt;Dash!$H$46, "Big", AF303&lt;Dash!$H$49, "Small", AF303&gt;Dash!$H$47, "Good"), "Norm")</f>
        <v>Norm</v>
      </c>
      <c r="AH303">
        <v>28.5</v>
      </c>
      <c r="AI303" t="str">
        <f>_xlfn.IFNA(_xlfn.IFS(AH303&gt;Dash!$I$46, "Big", AH303&lt;Dash!$I$49, "Small", AH303&gt;Dash!$I$47, "Good"), "Norm")</f>
        <v>Norm</v>
      </c>
    </row>
    <row r="304" spans="1:35" x14ac:dyDescent="0.25">
      <c r="A304" s="1">
        <v>45608</v>
      </c>
      <c r="B304" t="s">
        <v>19</v>
      </c>
      <c r="C304" t="s">
        <v>33</v>
      </c>
      <c r="D304" t="s">
        <v>14</v>
      </c>
      <c r="E304">
        <v>197</v>
      </c>
      <c r="F304">
        <v>1200</v>
      </c>
      <c r="G304">
        <v>1300</v>
      </c>
      <c r="J304" t="s">
        <v>21</v>
      </c>
      <c r="K304" t="s">
        <v>35</v>
      </c>
      <c r="L304" t="s">
        <v>17</v>
      </c>
      <c r="M304" t="s">
        <v>18</v>
      </c>
      <c r="N304">
        <v>9</v>
      </c>
      <c r="R304" t="s">
        <v>33</v>
      </c>
      <c r="S304" t="s">
        <v>43</v>
      </c>
      <c r="T304">
        <v>212</v>
      </c>
      <c r="U304" t="str">
        <f>_xlfn.IFNA(_xlfn.IFS(E304&gt;Dash!$D$46, "Big", E304&lt;Dash!$D$49, "Small", E304&gt;Dash!$D$47, "Good"), "Norm")</f>
        <v>Norm</v>
      </c>
      <c r="V304" t="s">
        <v>33</v>
      </c>
      <c r="W304">
        <v>242.5</v>
      </c>
      <c r="X304" t="s">
        <v>48</v>
      </c>
      <c r="Y304" s="1">
        <v>45608</v>
      </c>
      <c r="Z304">
        <v>63.5</v>
      </c>
      <c r="AA304" t="str">
        <f>_xlfn.IFNA(_xlfn.IFS(Z304&gt;Dash!$E$46, "Big", Z304&lt;Dash!$E$49, "Small", Z304&gt;Dash!$E$47, "Good"), "Norm")</f>
        <v>Norm</v>
      </c>
      <c r="AB304">
        <v>112.25</v>
      </c>
      <c r="AC304" t="str">
        <f>_xlfn.IFNA(_xlfn.IFS(AB304&gt;Dash!$F$46, "Big", AB304&lt;Dash!$F$49, "Small", AB304&gt;Dash!$F$47, "Good"), "Norm")</f>
        <v>Good</v>
      </c>
      <c r="AD304">
        <v>108</v>
      </c>
      <c r="AE304" t="str">
        <f>_xlfn.IFNA(_xlfn.IFS(AD304&gt;Dash!$G$46, "Big", AD304&lt;Dash!$G$49, "Small", AD304&gt;Dash!$G$47, "Good"), "Norm")</f>
        <v>Small</v>
      </c>
      <c r="AF304">
        <v>155.75</v>
      </c>
      <c r="AG304" t="str">
        <f>_xlfn.IFNA(_xlfn.IFS(AF304&gt;Dash!$H$46, "Big", AF304&lt;Dash!$H$49, "Small", AF304&gt;Dash!$H$47, "Good"), "Norm")</f>
        <v>Good</v>
      </c>
      <c r="AH304">
        <v>23</v>
      </c>
      <c r="AI304" t="str">
        <f>_xlfn.IFNA(_xlfn.IFS(AH304&gt;Dash!$I$46, "Big", AH304&lt;Dash!$I$49, "Small", AH304&gt;Dash!$I$47, "Good"), "Norm")</f>
        <v>Norm</v>
      </c>
    </row>
    <row r="305" spans="1:35" x14ac:dyDescent="0.25">
      <c r="A305" s="1">
        <v>45609</v>
      </c>
      <c r="B305" t="s">
        <v>18</v>
      </c>
      <c r="C305" t="s">
        <v>33</v>
      </c>
      <c r="D305" t="s">
        <v>43</v>
      </c>
      <c r="E305">
        <v>212</v>
      </c>
      <c r="F305">
        <v>1300</v>
      </c>
      <c r="G305">
        <v>1400</v>
      </c>
      <c r="J305" t="s">
        <v>49</v>
      </c>
      <c r="K305" t="s">
        <v>25</v>
      </c>
      <c r="L305" t="s">
        <v>32</v>
      </c>
      <c r="M305" t="s">
        <v>18</v>
      </c>
      <c r="N305">
        <v>9</v>
      </c>
      <c r="R305" t="s">
        <v>20</v>
      </c>
      <c r="S305" t="s">
        <v>48</v>
      </c>
      <c r="T305">
        <v>205.5</v>
      </c>
      <c r="U305" t="str">
        <f>_xlfn.IFNA(_xlfn.IFS(E305&gt;Dash!$D$46, "Big", E305&lt;Dash!$D$49, "Small", E305&gt;Dash!$D$47, "Good"), "Norm")</f>
        <v>Norm</v>
      </c>
      <c r="V305" t="s">
        <v>33</v>
      </c>
      <c r="W305">
        <v>197</v>
      </c>
      <c r="X305" t="s">
        <v>14</v>
      </c>
      <c r="Y305" s="1">
        <v>45609</v>
      </c>
      <c r="Z305">
        <v>82.5</v>
      </c>
      <c r="AA305" t="str">
        <f>_xlfn.IFNA(_xlfn.IFS(Z305&gt;Dash!$E$46, "Big", Z305&lt;Dash!$E$49, "Small", Z305&gt;Dash!$E$47, "Good"), "Norm")</f>
        <v>Good</v>
      </c>
      <c r="AB305">
        <v>69.25</v>
      </c>
      <c r="AC305" t="str">
        <f>_xlfn.IFNA(_xlfn.IFS(AB305&gt;Dash!$F$46, "Big", AB305&lt;Dash!$F$49, "Small", AB305&gt;Dash!$F$47, "Good"), "Norm")</f>
        <v>Norm</v>
      </c>
      <c r="AD305">
        <v>187</v>
      </c>
      <c r="AE305" t="str">
        <f>_xlfn.IFNA(_xlfn.IFS(AD305&gt;Dash!$G$46, "Big", AD305&lt;Dash!$G$49, "Small", AD305&gt;Dash!$G$47, "Good"), "Norm")</f>
        <v>Norm</v>
      </c>
      <c r="AF305">
        <v>144.75</v>
      </c>
      <c r="AG305" t="str">
        <f>_xlfn.IFNA(_xlfn.IFS(AF305&gt;Dash!$H$46, "Big", AF305&lt;Dash!$H$49, "Small", AF305&gt;Dash!$H$47, "Good"), "Norm")</f>
        <v>Norm</v>
      </c>
      <c r="AH305">
        <v>33.75</v>
      </c>
      <c r="AI305" t="str">
        <f>_xlfn.IFNA(_xlfn.IFS(AH305&gt;Dash!$I$46, "Big", AH305&lt;Dash!$I$49, "Small", AH305&gt;Dash!$I$47, "Good"), "Norm")</f>
        <v>Norm</v>
      </c>
    </row>
    <row r="306" spans="1:35" x14ac:dyDescent="0.25">
      <c r="A306" s="1">
        <v>45610</v>
      </c>
      <c r="B306" t="s">
        <v>36</v>
      </c>
      <c r="C306" t="s">
        <v>20</v>
      </c>
      <c r="D306" t="s">
        <v>48</v>
      </c>
      <c r="E306">
        <v>205.5</v>
      </c>
      <c r="F306">
        <v>1800</v>
      </c>
      <c r="G306">
        <v>1800</v>
      </c>
      <c r="H306">
        <v>1000</v>
      </c>
      <c r="I306">
        <v>1000</v>
      </c>
      <c r="J306" t="s">
        <v>45</v>
      </c>
      <c r="K306" t="s">
        <v>22</v>
      </c>
      <c r="L306" t="s">
        <v>42</v>
      </c>
      <c r="M306" t="s">
        <v>18</v>
      </c>
      <c r="N306">
        <v>9</v>
      </c>
      <c r="R306" t="s">
        <v>13</v>
      </c>
      <c r="S306" t="s">
        <v>14</v>
      </c>
      <c r="T306">
        <v>458.75</v>
      </c>
      <c r="U306" t="str">
        <f>_xlfn.IFNA(_xlfn.IFS(E306&gt;Dash!$D$46, "Big", E306&lt;Dash!$D$49, "Small", E306&gt;Dash!$D$47, "Good"), "Norm")</f>
        <v>Norm</v>
      </c>
      <c r="V306" t="s">
        <v>33</v>
      </c>
      <c r="W306">
        <v>212</v>
      </c>
      <c r="X306" t="s">
        <v>43</v>
      </c>
      <c r="Y306" s="1">
        <v>45610</v>
      </c>
      <c r="Z306">
        <v>75.75</v>
      </c>
      <c r="AA306" t="str">
        <f>_xlfn.IFNA(_xlfn.IFS(Z306&gt;Dash!$E$46, "Big", Z306&lt;Dash!$E$49, "Small", Z306&gt;Dash!$E$47, "Good"), "Norm")</f>
        <v>Norm</v>
      </c>
      <c r="AB306">
        <v>100</v>
      </c>
      <c r="AC306" t="str">
        <f>_xlfn.IFNA(_xlfn.IFS(AB306&gt;Dash!$F$46, "Big", AB306&lt;Dash!$F$49, "Small", AB306&gt;Dash!$F$47, "Good"), "Norm")</f>
        <v>Good</v>
      </c>
      <c r="AD306">
        <v>136.25</v>
      </c>
      <c r="AE306" t="str">
        <f>_xlfn.IFNA(_xlfn.IFS(AD306&gt;Dash!$G$46, "Big", AD306&lt;Dash!$G$49, "Small", AD306&gt;Dash!$G$47, "Good"), "Norm")</f>
        <v>Norm</v>
      </c>
      <c r="AF306">
        <v>149.5</v>
      </c>
      <c r="AG306" t="str">
        <f>_xlfn.IFNA(_xlfn.IFS(AF306&gt;Dash!$H$46, "Big", AF306&lt;Dash!$H$49, "Small", AF306&gt;Dash!$H$47, "Good"), "Norm")</f>
        <v>Norm</v>
      </c>
      <c r="AH306">
        <v>62.5</v>
      </c>
      <c r="AI306" t="str">
        <f>_xlfn.IFNA(_xlfn.IFS(AH306&gt;Dash!$I$46, "Big", AH306&lt;Dash!$I$49, "Small", AH306&gt;Dash!$I$47, "Good"), "Norm")</f>
        <v>Good</v>
      </c>
    </row>
    <row r="307" spans="1:35" x14ac:dyDescent="0.25">
      <c r="A307" s="1">
        <v>45611</v>
      </c>
      <c r="B307" t="s">
        <v>26</v>
      </c>
      <c r="C307" t="s">
        <v>13</v>
      </c>
      <c r="D307" t="s">
        <v>14</v>
      </c>
      <c r="E307">
        <v>458.75</v>
      </c>
      <c r="F307">
        <v>1800</v>
      </c>
      <c r="J307" t="s">
        <v>37</v>
      </c>
      <c r="K307" t="s">
        <v>16</v>
      </c>
      <c r="L307" t="s">
        <v>17</v>
      </c>
      <c r="M307" t="s">
        <v>18</v>
      </c>
      <c r="N307">
        <v>9</v>
      </c>
      <c r="O307" t="s">
        <v>61</v>
      </c>
      <c r="R307" t="s">
        <v>24</v>
      </c>
      <c r="S307">
        <v>1</v>
      </c>
      <c r="T307">
        <v>242.75</v>
      </c>
      <c r="U307" t="str">
        <f>_xlfn.IFNA(_xlfn.IFS(E307&gt;Dash!$D$46, "Big", E307&lt;Dash!$D$49, "Small", E307&gt;Dash!$D$47, "Good"), "Norm")</f>
        <v>Big</v>
      </c>
      <c r="V307" t="s">
        <v>20</v>
      </c>
      <c r="W307">
        <v>205.5</v>
      </c>
      <c r="X307" t="s">
        <v>48</v>
      </c>
      <c r="Y307" s="1">
        <v>45611</v>
      </c>
      <c r="Z307">
        <v>150.5</v>
      </c>
      <c r="AA307" t="str">
        <f>_xlfn.IFNA(_xlfn.IFS(Z307&gt;Dash!$E$46, "Big", Z307&lt;Dash!$E$49, "Small", Z307&gt;Dash!$E$47, "Good"), "Norm")</f>
        <v>Big</v>
      </c>
      <c r="AB307">
        <v>81</v>
      </c>
      <c r="AC307" t="str">
        <f>_xlfn.IFNA(_xlfn.IFS(AB307&gt;Dash!$F$46, "Big", AB307&lt;Dash!$F$49, "Small", AB307&gt;Dash!$F$47, "Good"), "Norm")</f>
        <v>Norm</v>
      </c>
      <c r="AD307">
        <v>383</v>
      </c>
      <c r="AE307" t="str">
        <f>_xlfn.IFNA(_xlfn.IFS(AD307&gt;Dash!$G$46, "Big", AD307&lt;Dash!$G$49, "Small", AD307&gt;Dash!$G$47, "Good"), "Norm")</f>
        <v>Big</v>
      </c>
      <c r="AF307">
        <v>108.25</v>
      </c>
      <c r="AG307" t="str">
        <f>_xlfn.IFNA(_xlfn.IFS(AF307&gt;Dash!$H$46, "Big", AF307&lt;Dash!$H$49, "Small", AF307&gt;Dash!$H$47, "Good"), "Norm")</f>
        <v>Norm</v>
      </c>
      <c r="AH307">
        <v>32</v>
      </c>
      <c r="AI307" t="str">
        <f>_xlfn.IFNA(_xlfn.IFS(AH307&gt;Dash!$I$46, "Big", AH307&lt;Dash!$I$49, "Small", AH307&gt;Dash!$I$47, "Good"), "Norm")</f>
        <v>Norm</v>
      </c>
    </row>
    <row r="308" spans="1:35" x14ac:dyDescent="0.25">
      <c r="A308" s="1">
        <v>45614</v>
      </c>
      <c r="B308" t="s">
        <v>23</v>
      </c>
      <c r="C308" t="s">
        <v>24</v>
      </c>
      <c r="D308">
        <v>1</v>
      </c>
      <c r="E308">
        <v>242.75</v>
      </c>
      <c r="J308" t="s">
        <v>34</v>
      </c>
      <c r="K308" t="s">
        <v>31</v>
      </c>
      <c r="L308" t="s">
        <v>35</v>
      </c>
      <c r="M308" t="s">
        <v>36</v>
      </c>
      <c r="N308">
        <v>3</v>
      </c>
      <c r="R308" t="s">
        <v>33</v>
      </c>
      <c r="S308" t="s">
        <v>38</v>
      </c>
      <c r="T308">
        <v>410</v>
      </c>
      <c r="U308" t="str">
        <f>_xlfn.IFNA(_xlfn.IFS(E308&gt;Dash!$D$46, "Big", E308&lt;Dash!$D$49, "Small", E308&gt;Dash!$D$47, "Good"), "Norm")</f>
        <v>Norm</v>
      </c>
      <c r="V308" t="s">
        <v>13</v>
      </c>
      <c r="W308">
        <v>458.75</v>
      </c>
      <c r="X308" t="s">
        <v>14</v>
      </c>
      <c r="Y308" s="1">
        <v>45614</v>
      </c>
      <c r="Z308">
        <v>181</v>
      </c>
      <c r="AA308" t="str">
        <f>_xlfn.IFNA(_xlfn.IFS(Z308&gt;Dash!$E$46, "Big", Z308&lt;Dash!$E$49, "Small", Z308&gt;Dash!$E$47, "Good"), "Norm")</f>
        <v>Big</v>
      </c>
      <c r="AB308">
        <v>104.5</v>
      </c>
      <c r="AC308" t="str">
        <f>_xlfn.IFNA(_xlfn.IFS(AB308&gt;Dash!$F$46, "Big", AB308&lt;Dash!$F$49, "Small", AB308&gt;Dash!$F$47, "Good"), "Norm")</f>
        <v>Good</v>
      </c>
      <c r="AD308">
        <v>242.75</v>
      </c>
      <c r="AE308" t="str">
        <f>_xlfn.IFNA(_xlfn.IFS(AD308&gt;Dash!$G$46, "Big", AD308&lt;Dash!$G$49, "Small", AD308&gt;Dash!$G$47, "Good"), "Norm")</f>
        <v>Good</v>
      </c>
      <c r="AF308">
        <v>81.75</v>
      </c>
      <c r="AG308" t="str">
        <f>_xlfn.IFNA(_xlfn.IFS(AF308&gt;Dash!$H$46, "Big", AF308&lt;Dash!$H$49, "Small", AF308&gt;Dash!$H$47, "Good"), "Norm")</f>
        <v>Small</v>
      </c>
      <c r="AH308">
        <v>27.25</v>
      </c>
      <c r="AI308" t="str">
        <f>_xlfn.IFNA(_xlfn.IFS(AH308&gt;Dash!$I$46, "Big", AH308&lt;Dash!$I$49, "Small", AH308&gt;Dash!$I$47, "Good"), "Norm")</f>
        <v>Norm</v>
      </c>
    </row>
    <row r="309" spans="1:35" x14ac:dyDescent="0.25">
      <c r="A309" s="1">
        <v>45615</v>
      </c>
      <c r="B309" t="s">
        <v>19</v>
      </c>
      <c r="C309" t="s">
        <v>33</v>
      </c>
      <c r="D309" t="s">
        <v>38</v>
      </c>
      <c r="E309">
        <v>410</v>
      </c>
      <c r="F309">
        <v>800</v>
      </c>
      <c r="G309">
        <v>900</v>
      </c>
      <c r="H309">
        <v>1300</v>
      </c>
      <c r="J309" t="s">
        <v>45</v>
      </c>
      <c r="K309" t="s">
        <v>25</v>
      </c>
      <c r="L309" t="s">
        <v>32</v>
      </c>
      <c r="M309" t="s">
        <v>36</v>
      </c>
      <c r="N309">
        <v>3</v>
      </c>
      <c r="R309" t="s">
        <v>41</v>
      </c>
      <c r="S309" t="s">
        <v>43</v>
      </c>
      <c r="T309">
        <v>353</v>
      </c>
      <c r="U309" t="str">
        <f>_xlfn.IFNA(_xlfn.IFS(E309&gt;Dash!$D$46, "Big", E309&lt;Dash!$D$49, "Small", E309&gt;Dash!$D$47, "Good"), "Norm")</f>
        <v>Big</v>
      </c>
      <c r="V309" t="s">
        <v>24</v>
      </c>
      <c r="W309">
        <v>242.75</v>
      </c>
      <c r="X309">
        <v>1</v>
      </c>
      <c r="Y309" s="1">
        <v>45615</v>
      </c>
      <c r="Z309">
        <v>93.5</v>
      </c>
      <c r="AA309" t="str">
        <f>_xlfn.IFNA(_xlfn.IFS(Z309&gt;Dash!$E$46, "Big", Z309&lt;Dash!$E$49, "Small", Z309&gt;Dash!$E$47, "Good"), "Norm")</f>
        <v>Good</v>
      </c>
      <c r="AB309">
        <v>195.5</v>
      </c>
      <c r="AC309" t="str">
        <f>_xlfn.IFNA(_xlfn.IFS(AB309&gt;Dash!$F$46, "Big", AB309&lt;Dash!$F$49, "Small", AB309&gt;Dash!$F$47, "Good"), "Norm")</f>
        <v>Big</v>
      </c>
      <c r="AD309">
        <v>318.25</v>
      </c>
      <c r="AE309" t="str">
        <f>_xlfn.IFNA(_xlfn.IFS(AD309&gt;Dash!$G$46, "Big", AD309&lt;Dash!$G$49, "Small", AD309&gt;Dash!$G$47, "Good"), "Norm")</f>
        <v>Big</v>
      </c>
      <c r="AF309">
        <v>149.25</v>
      </c>
      <c r="AG309" t="str">
        <f>_xlfn.IFNA(_xlfn.IFS(AF309&gt;Dash!$H$46, "Big", AF309&lt;Dash!$H$49, "Small", AF309&gt;Dash!$H$47, "Good"), "Norm")</f>
        <v>Norm</v>
      </c>
      <c r="AH309">
        <v>37.25</v>
      </c>
      <c r="AI309" t="str">
        <f>_xlfn.IFNA(_xlfn.IFS(AH309&gt;Dash!$I$46, "Big", AH309&lt;Dash!$I$49, "Small", AH309&gt;Dash!$I$47, "Good"), "Norm")</f>
        <v>Good</v>
      </c>
    </row>
    <row r="310" spans="1:35" x14ac:dyDescent="0.25">
      <c r="A310" s="1">
        <v>45616</v>
      </c>
      <c r="B310" t="s">
        <v>18</v>
      </c>
      <c r="C310" t="s">
        <v>41</v>
      </c>
      <c r="D310" t="s">
        <v>43</v>
      </c>
      <c r="E310">
        <v>353</v>
      </c>
      <c r="F310">
        <v>1900</v>
      </c>
      <c r="G310">
        <v>2000</v>
      </c>
      <c r="J310" t="s">
        <v>29</v>
      </c>
      <c r="K310" t="s">
        <v>22</v>
      </c>
      <c r="L310" t="s">
        <v>25</v>
      </c>
      <c r="M310" t="s">
        <v>36</v>
      </c>
      <c r="N310">
        <v>3</v>
      </c>
      <c r="O310" t="s">
        <v>66</v>
      </c>
      <c r="R310" t="s">
        <v>33</v>
      </c>
      <c r="S310" t="s">
        <v>28</v>
      </c>
      <c r="T310">
        <v>391.5</v>
      </c>
      <c r="U310" t="str">
        <f>_xlfn.IFNA(_xlfn.IFS(E310&gt;Dash!$D$46, "Big", E310&lt;Dash!$D$49, "Small", E310&gt;Dash!$D$47, "Good"), "Norm")</f>
        <v>Good</v>
      </c>
      <c r="V310" t="s">
        <v>33</v>
      </c>
      <c r="W310">
        <v>410</v>
      </c>
      <c r="X310" t="s">
        <v>38</v>
      </c>
      <c r="Y310" s="1">
        <v>45616</v>
      </c>
      <c r="Z310">
        <v>90</v>
      </c>
      <c r="AA310" t="str">
        <f>_xlfn.IFNA(_xlfn.IFS(Z310&gt;Dash!$E$46, "Big", Z310&lt;Dash!$E$49, "Small", Z310&gt;Dash!$E$47, "Good"), "Norm")</f>
        <v>Good</v>
      </c>
      <c r="AB310">
        <v>90.25</v>
      </c>
      <c r="AC310" t="str">
        <f>_xlfn.IFNA(_xlfn.IFS(AB310&gt;Dash!$F$46, "Big", AB310&lt;Dash!$F$49, "Small", AB310&gt;Dash!$F$47, "Good"), "Norm")</f>
        <v>Norm</v>
      </c>
      <c r="AD310">
        <v>353</v>
      </c>
      <c r="AE310" t="str">
        <f>_xlfn.IFNA(_xlfn.IFS(AD310&gt;Dash!$G$46, "Big", AD310&lt;Dash!$G$49, "Small", AD310&gt;Dash!$G$47, "Good"), "Norm")</f>
        <v>Big</v>
      </c>
      <c r="AF310">
        <v>208</v>
      </c>
      <c r="AG310" t="str">
        <f>_xlfn.IFNA(_xlfn.IFS(AF310&gt;Dash!$H$46, "Big", AF310&lt;Dash!$H$49, "Small", AF310&gt;Dash!$H$47, "Good"), "Norm")</f>
        <v>Good</v>
      </c>
      <c r="AH310">
        <v>189.75</v>
      </c>
      <c r="AI310" t="str">
        <f>_xlfn.IFNA(_xlfn.IFS(AH310&gt;Dash!$I$46, "Big", AH310&lt;Dash!$I$49, "Small", AH310&gt;Dash!$I$47, "Good"), "Norm")</f>
        <v>Big</v>
      </c>
    </row>
    <row r="311" spans="1:35" x14ac:dyDescent="0.25">
      <c r="A311" s="1">
        <v>45617</v>
      </c>
      <c r="B311" t="s">
        <v>36</v>
      </c>
      <c r="C311" t="s">
        <v>33</v>
      </c>
      <c r="D311" t="s">
        <v>28</v>
      </c>
      <c r="E311">
        <v>391.5</v>
      </c>
      <c r="F311">
        <v>800</v>
      </c>
      <c r="G311">
        <v>900</v>
      </c>
      <c r="J311" t="s">
        <v>27</v>
      </c>
      <c r="K311" t="s">
        <v>35</v>
      </c>
      <c r="L311" t="s">
        <v>25</v>
      </c>
      <c r="M311" t="s">
        <v>36</v>
      </c>
      <c r="N311">
        <v>3</v>
      </c>
      <c r="R311" t="s">
        <v>20</v>
      </c>
      <c r="S311">
        <v>1</v>
      </c>
      <c r="T311">
        <v>157.75</v>
      </c>
      <c r="U311" t="str">
        <f>_xlfn.IFNA(_xlfn.IFS(E311&gt;Dash!$D$46, "Big", E311&lt;Dash!$D$49, "Small", E311&gt;Dash!$D$47, "Good"), "Norm")</f>
        <v>Good</v>
      </c>
      <c r="V311" t="s">
        <v>41</v>
      </c>
      <c r="W311">
        <v>353</v>
      </c>
      <c r="X311" t="s">
        <v>43</v>
      </c>
      <c r="Y311" s="1">
        <v>45617</v>
      </c>
      <c r="Z311">
        <v>142</v>
      </c>
      <c r="AA311" t="str">
        <f>_xlfn.IFNA(_xlfn.IFS(Z311&gt;Dash!$E$46, "Big", Z311&lt;Dash!$E$49, "Small", Z311&gt;Dash!$E$47, "Good"), "Norm")</f>
        <v>Big</v>
      </c>
      <c r="AB311">
        <v>213.5</v>
      </c>
      <c r="AC311" t="str">
        <f>_xlfn.IFNA(_xlfn.IFS(AB311&gt;Dash!$F$46, "Big", AB311&lt;Dash!$F$49, "Small", AB311&gt;Dash!$F$47, "Good"), "Norm")</f>
        <v>Big</v>
      </c>
      <c r="AD311">
        <v>391.5</v>
      </c>
      <c r="AE311" t="str">
        <f>_xlfn.IFNA(_xlfn.IFS(AD311&gt;Dash!$G$46, "Big", AD311&lt;Dash!$G$49, "Small", AD311&gt;Dash!$G$47, "Good"), "Norm")</f>
        <v>Big</v>
      </c>
      <c r="AF311">
        <v>181.25</v>
      </c>
      <c r="AG311" t="str">
        <f>_xlfn.IFNA(_xlfn.IFS(AF311&gt;Dash!$H$46, "Big", AF311&lt;Dash!$H$49, "Small", AF311&gt;Dash!$H$47, "Good"), "Norm")</f>
        <v>Good</v>
      </c>
      <c r="AH311">
        <v>40.5</v>
      </c>
      <c r="AI311" t="str">
        <f>_xlfn.IFNA(_xlfn.IFS(AH311&gt;Dash!$I$46, "Big", AH311&lt;Dash!$I$49, "Small", AH311&gt;Dash!$I$47, "Good"), "Norm")</f>
        <v>Good</v>
      </c>
    </row>
    <row r="312" spans="1:35" x14ac:dyDescent="0.25">
      <c r="A312" s="1">
        <v>45618</v>
      </c>
      <c r="B312" t="s">
        <v>26</v>
      </c>
      <c r="C312" t="s">
        <v>20</v>
      </c>
      <c r="D312">
        <v>1</v>
      </c>
      <c r="E312">
        <v>157.75</v>
      </c>
      <c r="J312" t="s">
        <v>34</v>
      </c>
      <c r="K312" t="s">
        <v>39</v>
      </c>
      <c r="L312" t="s">
        <v>32</v>
      </c>
      <c r="M312" t="s">
        <v>36</v>
      </c>
      <c r="N312">
        <v>3</v>
      </c>
      <c r="R312" t="s">
        <v>33</v>
      </c>
      <c r="S312" t="s">
        <v>43</v>
      </c>
      <c r="T312">
        <v>300.75</v>
      </c>
      <c r="U312" t="str">
        <f>_xlfn.IFNA(_xlfn.IFS(E312&gt;Dash!$D$46, "Big", E312&lt;Dash!$D$49, "Small", E312&gt;Dash!$D$47, "Good"), "Norm")</f>
        <v>Norm</v>
      </c>
      <c r="V312" t="s">
        <v>33</v>
      </c>
      <c r="W312">
        <v>391.5</v>
      </c>
      <c r="X312" t="s">
        <v>28</v>
      </c>
      <c r="Y312" s="1">
        <v>45618</v>
      </c>
      <c r="Z312">
        <v>86</v>
      </c>
      <c r="AA312" t="str">
        <f>_xlfn.IFNA(_xlfn.IFS(Z312&gt;Dash!$E$46, "Big", Z312&lt;Dash!$E$49, "Small", Z312&gt;Dash!$E$47, "Good"), "Norm")</f>
        <v>Good</v>
      </c>
      <c r="AB312">
        <v>137.75</v>
      </c>
      <c r="AC312" t="str">
        <f>_xlfn.IFNA(_xlfn.IFS(AB312&gt;Dash!$F$46, "Big", AB312&lt;Dash!$F$49, "Small", AB312&gt;Dash!$F$47, "Good"), "Norm")</f>
        <v>Good</v>
      </c>
      <c r="AD312">
        <v>150.75</v>
      </c>
      <c r="AE312" t="str">
        <f>_xlfn.IFNA(_xlfn.IFS(AD312&gt;Dash!$G$46, "Big", AD312&lt;Dash!$G$49, "Small", AD312&gt;Dash!$G$47, "Good"), "Norm")</f>
        <v>Norm</v>
      </c>
      <c r="AF312">
        <v>84.5</v>
      </c>
      <c r="AG312" t="str">
        <f>_xlfn.IFNA(_xlfn.IFS(AF312&gt;Dash!$H$46, "Big", AF312&lt;Dash!$H$49, "Small", AF312&gt;Dash!$H$47, "Good"), "Norm")</f>
        <v>Small</v>
      </c>
      <c r="AH312">
        <v>39.75</v>
      </c>
      <c r="AI312" t="str">
        <f>_xlfn.IFNA(_xlfn.IFS(AH312&gt;Dash!$I$46, "Big", AH312&lt;Dash!$I$49, "Small", AH312&gt;Dash!$I$47, "Good"), "Norm")</f>
        <v>Good</v>
      </c>
    </row>
    <row r="313" spans="1:35" x14ac:dyDescent="0.25">
      <c r="A313" s="1">
        <v>45621</v>
      </c>
      <c r="B313" t="s">
        <v>23</v>
      </c>
      <c r="C313" t="s">
        <v>33</v>
      </c>
      <c r="D313" t="s">
        <v>43</v>
      </c>
      <c r="E313">
        <v>300.75</v>
      </c>
      <c r="F313">
        <v>1800</v>
      </c>
      <c r="G313">
        <v>1000</v>
      </c>
      <c r="J313" t="s">
        <v>29</v>
      </c>
      <c r="K313" t="s">
        <v>35</v>
      </c>
      <c r="L313" t="s">
        <v>17</v>
      </c>
      <c r="M313" t="s">
        <v>19</v>
      </c>
      <c r="N313">
        <v>5</v>
      </c>
      <c r="R313" t="s">
        <v>24</v>
      </c>
      <c r="S313" t="s">
        <v>46</v>
      </c>
      <c r="T313">
        <v>121</v>
      </c>
      <c r="U313" t="str">
        <f>_xlfn.IFNA(_xlfn.IFS(E313&gt;Dash!$D$46, "Big", E313&lt;Dash!$D$49, "Small", E313&gt;Dash!$D$47, "Good"), "Norm")</f>
        <v>Good</v>
      </c>
      <c r="V313" t="s">
        <v>20</v>
      </c>
      <c r="W313">
        <v>157.75</v>
      </c>
      <c r="X313">
        <v>1</v>
      </c>
      <c r="Y313" s="1">
        <v>45621</v>
      </c>
      <c r="Z313">
        <v>43.5</v>
      </c>
      <c r="AA313" t="str">
        <f>_xlfn.IFNA(_xlfn.IFS(Z313&gt;Dash!$E$46, "Big", Z313&lt;Dash!$E$49, "Small", Z313&gt;Dash!$E$47, "Good"), "Norm")</f>
        <v>Norm</v>
      </c>
      <c r="AB313">
        <v>49.25</v>
      </c>
      <c r="AC313" t="str">
        <f>_xlfn.IFNA(_xlfn.IFS(AB313&gt;Dash!$F$46, "Big", AB313&lt;Dash!$F$49, "Small", AB313&gt;Dash!$F$47, "Good"), "Norm")</f>
        <v>Small</v>
      </c>
      <c r="AD313">
        <v>211.75</v>
      </c>
      <c r="AE313" t="str">
        <f>_xlfn.IFNA(_xlfn.IFS(AD313&gt;Dash!$G$46, "Big", AD313&lt;Dash!$G$49, "Small", AD313&gt;Dash!$G$47, "Good"), "Norm")</f>
        <v>Good</v>
      </c>
      <c r="AF313">
        <v>130</v>
      </c>
      <c r="AG313" t="str">
        <f>_xlfn.IFNA(_xlfn.IFS(AF313&gt;Dash!$H$46, "Big", AF313&lt;Dash!$H$49, "Small", AF313&gt;Dash!$H$47, "Good"), "Norm")</f>
        <v>Norm</v>
      </c>
      <c r="AH313">
        <v>55.25</v>
      </c>
      <c r="AI313" t="str">
        <f>_xlfn.IFNA(_xlfn.IFS(AH313&gt;Dash!$I$46, "Big", AH313&lt;Dash!$I$49, "Small", AH313&gt;Dash!$I$47, "Good"), "Norm")</f>
        <v>Good</v>
      </c>
    </row>
    <row r="314" spans="1:35" x14ac:dyDescent="0.25">
      <c r="A314" s="1">
        <v>45622</v>
      </c>
      <c r="B314" t="s">
        <v>19</v>
      </c>
      <c r="C314" t="s">
        <v>24</v>
      </c>
      <c r="D314" t="s">
        <v>46</v>
      </c>
      <c r="E314">
        <v>121</v>
      </c>
      <c r="F314">
        <v>2000</v>
      </c>
      <c r="G314">
        <v>2000</v>
      </c>
      <c r="J314" t="s">
        <v>37</v>
      </c>
      <c r="K314" t="s">
        <v>31</v>
      </c>
      <c r="L314" t="s">
        <v>35</v>
      </c>
      <c r="M314" t="s">
        <v>19</v>
      </c>
      <c r="N314">
        <v>5</v>
      </c>
      <c r="R314" t="s">
        <v>13</v>
      </c>
      <c r="S314" t="s">
        <v>14</v>
      </c>
      <c r="T314">
        <v>289.75</v>
      </c>
      <c r="U314" t="str">
        <f>_xlfn.IFNA(_xlfn.IFS(E314&gt;Dash!$D$46, "Big", E314&lt;Dash!$D$49, "Small", E314&gt;Dash!$D$47, "Good"), "Norm")</f>
        <v>Small</v>
      </c>
      <c r="V314" t="s">
        <v>33</v>
      </c>
      <c r="W314">
        <v>300.75</v>
      </c>
      <c r="X314" t="s">
        <v>43</v>
      </c>
      <c r="Y314" s="1">
        <v>45622</v>
      </c>
      <c r="Z314">
        <v>178.5</v>
      </c>
      <c r="AA314" t="str">
        <f>_xlfn.IFNA(_xlfn.IFS(Z314&gt;Dash!$E$46, "Big", Z314&lt;Dash!$E$49, "Small", Z314&gt;Dash!$E$47, "Good"), "Norm")</f>
        <v>Big</v>
      </c>
      <c r="AB314">
        <v>103</v>
      </c>
      <c r="AC314" t="str">
        <f>_xlfn.IFNA(_xlfn.IFS(AB314&gt;Dash!$F$46, "Big", AB314&lt;Dash!$F$49, "Small", AB314&gt;Dash!$F$47, "Good"), "Norm")</f>
        <v>Good</v>
      </c>
      <c r="AD314">
        <v>105.25</v>
      </c>
      <c r="AE314" t="str">
        <f>_xlfn.IFNA(_xlfn.IFS(AD314&gt;Dash!$G$46, "Big", AD314&lt;Dash!$G$49, "Small", AD314&gt;Dash!$G$47, "Good"), "Norm")</f>
        <v>Small</v>
      </c>
      <c r="AF314">
        <v>105</v>
      </c>
      <c r="AG314" t="str">
        <f>_xlfn.IFNA(_xlfn.IFS(AF314&gt;Dash!$H$46, "Big", AF314&lt;Dash!$H$49, "Small", AF314&gt;Dash!$H$47, "Good"), "Norm")</f>
        <v>Norm</v>
      </c>
      <c r="AH314">
        <v>20</v>
      </c>
      <c r="AI314" t="str">
        <f>_xlfn.IFNA(_xlfn.IFS(AH314&gt;Dash!$I$46, "Big", AH314&lt;Dash!$I$49, "Small", AH314&gt;Dash!$I$47, "Good"), "Norm")</f>
        <v>Small</v>
      </c>
    </row>
    <row r="315" spans="1:35" x14ac:dyDescent="0.25">
      <c r="A315" s="1">
        <v>45623</v>
      </c>
      <c r="B315" t="s">
        <v>18</v>
      </c>
      <c r="C315" t="s">
        <v>13</v>
      </c>
      <c r="D315" t="s">
        <v>14</v>
      </c>
      <c r="E315">
        <v>289.75</v>
      </c>
      <c r="F315">
        <v>1000</v>
      </c>
      <c r="G315">
        <v>1300</v>
      </c>
      <c r="J315" t="s">
        <v>45</v>
      </c>
      <c r="K315" t="s">
        <v>16</v>
      </c>
      <c r="L315" t="s">
        <v>17</v>
      </c>
      <c r="M315" t="s">
        <v>19</v>
      </c>
      <c r="N315">
        <v>5</v>
      </c>
      <c r="R315" t="s">
        <v>33</v>
      </c>
      <c r="S315" t="s">
        <v>28</v>
      </c>
      <c r="T315">
        <v>212</v>
      </c>
      <c r="U315" t="str">
        <f>_xlfn.IFNA(_xlfn.IFS(E315&gt;Dash!$D$46, "Big", E315&lt;Dash!$D$49, "Small", E315&gt;Dash!$D$47, "Good"), "Norm")</f>
        <v>Good</v>
      </c>
      <c r="V315" t="s">
        <v>24</v>
      </c>
      <c r="W315">
        <v>121</v>
      </c>
      <c r="X315" t="s">
        <v>46</v>
      </c>
      <c r="Y315" s="1">
        <v>45623</v>
      </c>
      <c r="Z315">
        <v>66.75</v>
      </c>
      <c r="AA315" t="str">
        <f>_xlfn.IFNA(_xlfn.IFS(Z315&gt;Dash!$E$46, "Big", Z315&lt;Dash!$E$49, "Small", Z315&gt;Dash!$E$47, "Good"), "Norm")</f>
        <v>Norm</v>
      </c>
      <c r="AB315">
        <v>85.75</v>
      </c>
      <c r="AC315" t="str">
        <f>_xlfn.IFNA(_xlfn.IFS(AB315&gt;Dash!$F$46, "Big", AB315&lt;Dash!$F$49, "Small", AB315&gt;Dash!$F$47, "Good"), "Norm")</f>
        <v>Norm</v>
      </c>
      <c r="AD315">
        <v>276</v>
      </c>
      <c r="AE315" t="str">
        <f>_xlfn.IFNA(_xlfn.IFS(AD315&gt;Dash!$G$46, "Big", AD315&lt;Dash!$G$49, "Small", AD315&gt;Dash!$G$47, "Good"), "Norm")</f>
        <v>Good</v>
      </c>
      <c r="AF315">
        <v>148.75</v>
      </c>
      <c r="AG315" t="str">
        <f>_xlfn.IFNA(_xlfn.IFS(AF315&gt;Dash!$H$46, "Big", AF315&lt;Dash!$H$49, "Small", AF315&gt;Dash!$H$47, "Good"), "Norm")</f>
        <v>Norm</v>
      </c>
      <c r="AH315">
        <v>28.75</v>
      </c>
      <c r="AI315" t="str">
        <f>_xlfn.IFNA(_xlfn.IFS(AH315&gt;Dash!$I$46, "Big", AH315&lt;Dash!$I$49, "Small", AH315&gt;Dash!$I$47, "Good"), "Norm")</f>
        <v>Norm</v>
      </c>
    </row>
    <row r="316" spans="1:35" x14ac:dyDescent="0.25">
      <c r="A316" s="1">
        <v>45625</v>
      </c>
      <c r="B316" t="s">
        <v>26</v>
      </c>
      <c r="C316" t="s">
        <v>33</v>
      </c>
      <c r="D316" t="s">
        <v>28</v>
      </c>
      <c r="E316">
        <v>212</v>
      </c>
      <c r="F316">
        <v>1200</v>
      </c>
      <c r="G316">
        <v>1200</v>
      </c>
      <c r="J316" t="s">
        <v>34</v>
      </c>
      <c r="K316" t="s">
        <v>25</v>
      </c>
      <c r="L316" t="s">
        <v>32</v>
      </c>
      <c r="M316" t="s">
        <v>19</v>
      </c>
      <c r="N316">
        <v>5</v>
      </c>
      <c r="R316" t="s">
        <v>13</v>
      </c>
      <c r="S316" t="s">
        <v>28</v>
      </c>
      <c r="T316">
        <v>260.75</v>
      </c>
      <c r="U316" t="str">
        <f>_xlfn.IFNA(_xlfn.IFS(E316&gt;Dash!$D$46, "Big", E316&lt;Dash!$D$49, "Small", E316&gt;Dash!$D$47, "Good"), "Norm")</f>
        <v>Norm</v>
      </c>
      <c r="V316" t="s">
        <v>13</v>
      </c>
      <c r="W316">
        <v>289.75</v>
      </c>
      <c r="X316" t="s">
        <v>14</v>
      </c>
      <c r="Y316" s="1">
        <v>45625</v>
      </c>
      <c r="Z316">
        <v>115</v>
      </c>
      <c r="AA316" t="str">
        <f>_xlfn.IFNA(_xlfn.IFS(Z316&gt;Dash!$E$46, "Big", Z316&lt;Dash!$E$49, "Small", Z316&gt;Dash!$E$47, "Good"), "Norm")</f>
        <v>Good</v>
      </c>
      <c r="AB316">
        <v>67.75</v>
      </c>
      <c r="AC316" t="str">
        <f>_xlfn.IFNA(_xlfn.IFS(AB316&gt;Dash!$F$46, "Big", AB316&lt;Dash!$F$49, "Small", AB316&gt;Dash!$F$47, "Good"), "Norm")</f>
        <v>Norm</v>
      </c>
      <c r="AD316">
        <v>201</v>
      </c>
      <c r="AE316" t="str">
        <f>_xlfn.IFNA(_xlfn.IFS(AD316&gt;Dash!$G$46, "Big", AD316&lt;Dash!$G$49, "Small", AD316&gt;Dash!$G$47, "Good"), "Norm")</f>
        <v>Good</v>
      </c>
      <c r="AF316">
        <v>75.75</v>
      </c>
      <c r="AG316" t="str">
        <f>_xlfn.IFNA(_xlfn.IFS(AF316&gt;Dash!$H$46, "Big", AF316&lt;Dash!$H$49, "Small", AF316&gt;Dash!$H$47, "Good"), "Norm")</f>
        <v>Small</v>
      </c>
      <c r="AH316" t="s">
        <v>180</v>
      </c>
      <c r="AI316" t="str">
        <f>_xlfn.IFNA(_xlfn.IFS(AH316&gt;Dash!$I$46, "Big", AH316&lt;Dash!$I$49, "Small", AH316&gt;Dash!$I$47, "Good"), "Norm")</f>
        <v>Big</v>
      </c>
    </row>
    <row r="317" spans="1:35" x14ac:dyDescent="0.25">
      <c r="A317" s="1">
        <v>45628</v>
      </c>
      <c r="B317" t="s">
        <v>23</v>
      </c>
      <c r="C317" t="s">
        <v>13</v>
      </c>
      <c r="D317" t="s">
        <v>28</v>
      </c>
      <c r="E317">
        <v>260.75</v>
      </c>
      <c r="F317">
        <v>800</v>
      </c>
      <c r="J317" t="s">
        <v>27</v>
      </c>
      <c r="K317" t="s">
        <v>31</v>
      </c>
      <c r="L317" t="s">
        <v>32</v>
      </c>
      <c r="M317" t="s">
        <v>23</v>
      </c>
      <c r="N317">
        <v>9</v>
      </c>
      <c r="R317" t="s">
        <v>33</v>
      </c>
      <c r="S317" t="s">
        <v>28</v>
      </c>
      <c r="T317">
        <v>155.5</v>
      </c>
      <c r="U317" t="str">
        <f>_xlfn.IFNA(_xlfn.IFS(E317&gt;Dash!$D$46, "Big", E317&lt;Dash!$D$49, "Small", E317&gt;Dash!$D$47, "Good"), "Norm")</f>
        <v>Good</v>
      </c>
      <c r="V317" t="s">
        <v>33</v>
      </c>
      <c r="W317">
        <v>212</v>
      </c>
      <c r="X317" t="s">
        <v>28</v>
      </c>
      <c r="Y317" s="1">
        <v>45628</v>
      </c>
      <c r="Z317">
        <v>64</v>
      </c>
      <c r="AA317" t="str">
        <f>_xlfn.IFNA(_xlfn.IFS(Z317&gt;Dash!$E$46, "Big", Z317&lt;Dash!$E$49, "Small", Z317&gt;Dash!$E$47, "Good"), "Norm")</f>
        <v>Norm</v>
      </c>
      <c r="AB317">
        <v>72</v>
      </c>
      <c r="AC317" t="str">
        <f>_xlfn.IFNA(_xlfn.IFS(AB317&gt;Dash!$F$46, "Big", AB317&lt;Dash!$F$49, "Small", AB317&gt;Dash!$F$47, "Good"), "Norm")</f>
        <v>Norm</v>
      </c>
      <c r="AD317">
        <v>239.75</v>
      </c>
      <c r="AE317" t="str">
        <f>_xlfn.IFNA(_xlfn.IFS(AD317&gt;Dash!$G$46, "Big", AD317&lt;Dash!$G$49, "Small", AD317&gt;Dash!$G$47, "Good"), "Norm")</f>
        <v>Good</v>
      </c>
      <c r="AF317">
        <v>83.5</v>
      </c>
      <c r="AG317" t="str">
        <f>_xlfn.IFNA(_xlfn.IFS(AF317&gt;Dash!$H$46, "Big", AF317&lt;Dash!$H$49, "Small", AF317&gt;Dash!$H$47, "Good"), "Norm")</f>
        <v>Small</v>
      </c>
      <c r="AH317">
        <v>31.5</v>
      </c>
      <c r="AI317" t="str">
        <f>_xlfn.IFNA(_xlfn.IFS(AH317&gt;Dash!$I$46, "Big", AH317&lt;Dash!$I$49, "Small", AH317&gt;Dash!$I$47, "Good"), "Norm")</f>
        <v>Norm</v>
      </c>
    </row>
    <row r="318" spans="1:35" x14ac:dyDescent="0.25">
      <c r="A318" s="1">
        <v>45629</v>
      </c>
      <c r="B318" t="s">
        <v>19</v>
      </c>
      <c r="C318" t="s">
        <v>33</v>
      </c>
      <c r="D318" t="s">
        <v>28</v>
      </c>
      <c r="E318">
        <v>155.5</v>
      </c>
      <c r="F318">
        <v>1100</v>
      </c>
      <c r="G318">
        <v>1100</v>
      </c>
      <c r="J318" t="s">
        <v>27</v>
      </c>
      <c r="K318" t="s">
        <v>25</v>
      </c>
      <c r="L318" t="s">
        <v>44</v>
      </c>
      <c r="M318" t="s">
        <v>23</v>
      </c>
      <c r="N318">
        <v>9</v>
      </c>
      <c r="R318" t="s">
        <v>13</v>
      </c>
      <c r="S318" t="s">
        <v>28</v>
      </c>
      <c r="T318">
        <v>160.25</v>
      </c>
      <c r="U318" t="str">
        <f>_xlfn.IFNA(_xlfn.IFS(E318&gt;Dash!$D$46, "Big", E318&lt;Dash!$D$49, "Small", E318&gt;Dash!$D$47, "Good"), "Norm")</f>
        <v>Small</v>
      </c>
      <c r="V318" t="s">
        <v>13</v>
      </c>
      <c r="W318">
        <v>260.75</v>
      </c>
      <c r="X318" t="s">
        <v>28</v>
      </c>
      <c r="Y318" s="1">
        <v>45629</v>
      </c>
      <c r="Z318">
        <v>36.5</v>
      </c>
      <c r="AA318" t="str">
        <f>_xlfn.IFNA(_xlfn.IFS(Z318&gt;Dash!$E$46, "Big", Z318&lt;Dash!$E$49, "Small", Z318&gt;Dash!$E$47, "Good"), "Norm")</f>
        <v>Small</v>
      </c>
      <c r="AB318">
        <v>56.5</v>
      </c>
      <c r="AC318" t="str">
        <f>_xlfn.IFNA(_xlfn.IFS(AB318&gt;Dash!$F$46, "Big", AB318&lt;Dash!$F$49, "Small", AB318&gt;Dash!$F$47, "Good"), "Norm")</f>
        <v>Small</v>
      </c>
      <c r="AD318">
        <v>128.5</v>
      </c>
      <c r="AE318" t="str">
        <f>_xlfn.IFNA(_xlfn.IFS(AD318&gt;Dash!$G$46, "Big", AD318&lt;Dash!$G$49, "Small", AD318&gt;Dash!$G$47, "Good"), "Norm")</f>
        <v>Norm</v>
      </c>
      <c r="AF318">
        <v>99.75</v>
      </c>
      <c r="AG318" t="str">
        <f>_xlfn.IFNA(_xlfn.IFS(AF318&gt;Dash!$H$46, "Big", AF318&lt;Dash!$H$49, "Small", AF318&gt;Dash!$H$47, "Good"), "Norm")</f>
        <v>Norm</v>
      </c>
      <c r="AH318">
        <v>56.5</v>
      </c>
      <c r="AI318" t="str">
        <f>_xlfn.IFNA(_xlfn.IFS(AH318&gt;Dash!$I$46, "Big", AH318&lt;Dash!$I$49, "Small", AH318&gt;Dash!$I$47, "Good"), "Norm")</f>
        <v>Good</v>
      </c>
    </row>
    <row r="319" spans="1:35" x14ac:dyDescent="0.25">
      <c r="A319" s="1">
        <v>45630</v>
      </c>
      <c r="B319" t="s">
        <v>18</v>
      </c>
      <c r="C319" t="s">
        <v>13</v>
      </c>
      <c r="D319" t="s">
        <v>28</v>
      </c>
      <c r="E319">
        <v>160.25</v>
      </c>
      <c r="F319">
        <v>1800</v>
      </c>
      <c r="J319" t="s">
        <v>29</v>
      </c>
      <c r="K319" t="s">
        <v>31</v>
      </c>
      <c r="L319" t="s">
        <v>32</v>
      </c>
      <c r="M319" t="s">
        <v>23</v>
      </c>
      <c r="N319">
        <v>9</v>
      </c>
      <c r="R319" t="s">
        <v>33</v>
      </c>
      <c r="S319" t="s">
        <v>43</v>
      </c>
      <c r="T319">
        <v>108.25</v>
      </c>
      <c r="U319" t="str">
        <f>_xlfn.IFNA(_xlfn.IFS(E319&gt;Dash!$D$46, "Big", E319&lt;Dash!$D$49, "Small", E319&gt;Dash!$D$47, "Good"), "Norm")</f>
        <v>Norm</v>
      </c>
      <c r="V319" t="s">
        <v>33</v>
      </c>
      <c r="W319">
        <v>155.5</v>
      </c>
      <c r="X319" t="s">
        <v>28</v>
      </c>
      <c r="Y319" s="1">
        <v>45630</v>
      </c>
      <c r="Z319">
        <v>62.5</v>
      </c>
      <c r="AA319" t="str">
        <f>_xlfn.IFNA(_xlfn.IFS(Z319&gt;Dash!$E$46, "Big", Z319&lt;Dash!$E$49, "Small", Z319&gt;Dash!$E$47, "Good"), "Norm")</f>
        <v>Norm</v>
      </c>
      <c r="AB319">
        <v>85.25</v>
      </c>
      <c r="AC319" t="str">
        <f>_xlfn.IFNA(_xlfn.IFS(AB319&gt;Dash!$F$46, "Big", AB319&lt;Dash!$F$49, "Small", AB319&gt;Dash!$F$47, "Good"), "Norm")</f>
        <v>Norm</v>
      </c>
      <c r="AD319">
        <v>108.5</v>
      </c>
      <c r="AE319" t="str">
        <f>_xlfn.IFNA(_xlfn.IFS(AD319&gt;Dash!$G$46, "Big", AD319&lt;Dash!$G$49, "Small", AD319&gt;Dash!$G$47, "Good"), "Norm")</f>
        <v>Small</v>
      </c>
      <c r="AF319">
        <v>109</v>
      </c>
      <c r="AG319" t="str">
        <f>_xlfn.IFNA(_xlfn.IFS(AF319&gt;Dash!$H$46, "Big", AF319&lt;Dash!$H$49, "Small", AF319&gt;Dash!$H$47, "Good"), "Norm")</f>
        <v>Norm</v>
      </c>
      <c r="AH319">
        <v>30</v>
      </c>
      <c r="AI319" t="str">
        <f>_xlfn.IFNA(_xlfn.IFS(AH319&gt;Dash!$I$46, "Big", AH319&lt;Dash!$I$49, "Small", AH319&gt;Dash!$I$47, "Good"), "Norm")</f>
        <v>Norm</v>
      </c>
    </row>
    <row r="320" spans="1:35" x14ac:dyDescent="0.25">
      <c r="A320" s="1">
        <v>45631</v>
      </c>
      <c r="B320" t="s">
        <v>36</v>
      </c>
      <c r="C320" t="s">
        <v>33</v>
      </c>
      <c r="D320" t="s">
        <v>43</v>
      </c>
      <c r="E320">
        <v>108.25</v>
      </c>
      <c r="F320">
        <v>900</v>
      </c>
      <c r="G320">
        <v>900</v>
      </c>
      <c r="J320" t="s">
        <v>27</v>
      </c>
      <c r="K320" t="s">
        <v>32</v>
      </c>
      <c r="L320" t="s">
        <v>42</v>
      </c>
      <c r="M320" t="s">
        <v>23</v>
      </c>
      <c r="N320">
        <v>9</v>
      </c>
      <c r="R320" t="s">
        <v>13</v>
      </c>
      <c r="S320" t="s">
        <v>38</v>
      </c>
      <c r="T320">
        <v>229</v>
      </c>
      <c r="U320" t="str">
        <f>_xlfn.IFNA(_xlfn.IFS(E320&gt;Dash!$D$46, "Big", E320&lt;Dash!$D$49, "Small", E320&gt;Dash!$D$47, "Good"), "Norm")</f>
        <v>Small</v>
      </c>
      <c r="V320" t="s">
        <v>13</v>
      </c>
      <c r="W320">
        <v>160.25</v>
      </c>
      <c r="X320" t="s">
        <v>28</v>
      </c>
      <c r="Y320" s="1">
        <v>45631</v>
      </c>
      <c r="Z320">
        <v>28.25</v>
      </c>
      <c r="AA320" t="str">
        <f>_xlfn.IFNA(_xlfn.IFS(Z320&gt;Dash!$E$46, "Big", Z320&lt;Dash!$E$49, "Small", Z320&gt;Dash!$E$47, "Good"), "Norm")</f>
        <v>Small</v>
      </c>
      <c r="AB320">
        <v>48.75</v>
      </c>
      <c r="AC320" t="str">
        <f>_xlfn.IFNA(_xlfn.IFS(AB320&gt;Dash!$F$46, "Big", AB320&lt;Dash!$F$49, "Small", AB320&gt;Dash!$F$47, "Good"), "Norm")</f>
        <v>Small</v>
      </c>
      <c r="AD320">
        <v>63.75</v>
      </c>
      <c r="AE320" t="str">
        <f>_xlfn.IFNA(_xlfn.IFS(AD320&gt;Dash!$G$46, "Big", AD320&lt;Dash!$G$49, "Small", AD320&gt;Dash!$G$47, "Good"), "Norm")</f>
        <v>Small</v>
      </c>
      <c r="AF320">
        <v>108.25</v>
      </c>
      <c r="AG320" t="str">
        <f>_xlfn.IFNA(_xlfn.IFS(AF320&gt;Dash!$H$46, "Big", AF320&lt;Dash!$H$49, "Small", AF320&gt;Dash!$H$47, "Good"), "Norm")</f>
        <v>Norm</v>
      </c>
      <c r="AH320">
        <v>39</v>
      </c>
      <c r="AI320" t="str">
        <f>_xlfn.IFNA(_xlfn.IFS(AH320&gt;Dash!$I$46, "Big", AH320&lt;Dash!$I$49, "Small", AH320&gt;Dash!$I$47, "Good"), "Norm")</f>
        <v>Good</v>
      </c>
    </row>
    <row r="321" spans="1:35" x14ac:dyDescent="0.25">
      <c r="A321" s="1">
        <v>45632</v>
      </c>
      <c r="B321" t="s">
        <v>26</v>
      </c>
      <c r="C321" t="s">
        <v>13</v>
      </c>
      <c r="D321" t="s">
        <v>38</v>
      </c>
      <c r="E321">
        <v>229</v>
      </c>
      <c r="F321">
        <v>1800</v>
      </c>
      <c r="G321">
        <v>1800</v>
      </c>
      <c r="H321">
        <v>900</v>
      </c>
      <c r="J321" t="s">
        <v>37</v>
      </c>
      <c r="K321" t="s">
        <v>31</v>
      </c>
      <c r="L321" t="s">
        <v>32</v>
      </c>
      <c r="M321" t="s">
        <v>23</v>
      </c>
      <c r="N321">
        <v>9</v>
      </c>
      <c r="R321" t="s">
        <v>41</v>
      </c>
      <c r="S321" t="s">
        <v>43</v>
      </c>
      <c r="T321">
        <v>212.75</v>
      </c>
      <c r="U321" t="str">
        <f>_xlfn.IFNA(_xlfn.IFS(E321&gt;Dash!$D$46, "Big", E321&lt;Dash!$D$49, "Small", E321&gt;Dash!$D$47, "Good"), "Norm")</f>
        <v>Norm</v>
      </c>
      <c r="V321" t="s">
        <v>33</v>
      </c>
      <c r="W321">
        <v>108.25</v>
      </c>
      <c r="X321" t="s">
        <v>43</v>
      </c>
      <c r="Y321" s="1">
        <v>45632</v>
      </c>
      <c r="Z321">
        <v>58.75</v>
      </c>
      <c r="AA321" t="str">
        <f>_xlfn.IFNA(_xlfn.IFS(Z321&gt;Dash!$E$46, "Big", Z321&lt;Dash!$E$49, "Small", Z321&gt;Dash!$E$47, "Good"), "Norm")</f>
        <v>Norm</v>
      </c>
      <c r="AB321">
        <v>51</v>
      </c>
      <c r="AC321" t="str">
        <f>_xlfn.IFNA(_xlfn.IFS(AB321&gt;Dash!$F$46, "Big", AB321&lt;Dash!$F$49, "Small", AB321&gt;Dash!$F$47, "Good"), "Norm")</f>
        <v>Small</v>
      </c>
      <c r="AD321">
        <v>205</v>
      </c>
      <c r="AE321" t="str">
        <f>_xlfn.IFNA(_xlfn.IFS(AD321&gt;Dash!$G$46, "Big", AD321&lt;Dash!$G$49, "Small", AD321&gt;Dash!$G$47, "Good"), "Norm")</f>
        <v>Good</v>
      </c>
      <c r="AF321">
        <v>71.75</v>
      </c>
      <c r="AG321" t="str">
        <f>_xlfn.IFNA(_xlfn.IFS(AF321&gt;Dash!$H$46, "Big", AF321&lt;Dash!$H$49, "Small", AF321&gt;Dash!$H$47, "Good"), "Norm")</f>
        <v>Small</v>
      </c>
      <c r="AH321">
        <v>32.5</v>
      </c>
      <c r="AI321" t="str">
        <f>_xlfn.IFNA(_xlfn.IFS(AH321&gt;Dash!$I$46, "Big", AH321&lt;Dash!$I$49, "Small", AH321&gt;Dash!$I$47, "Good"), "Norm")</f>
        <v>Norm</v>
      </c>
    </row>
    <row r="322" spans="1:35" x14ac:dyDescent="0.25">
      <c r="A322" s="1">
        <v>45635</v>
      </c>
      <c r="B322" t="s">
        <v>23</v>
      </c>
      <c r="C322" t="s">
        <v>41</v>
      </c>
      <c r="D322" t="s">
        <v>43</v>
      </c>
      <c r="E322">
        <v>212.75</v>
      </c>
      <c r="F322">
        <v>1800</v>
      </c>
      <c r="G322">
        <v>1800</v>
      </c>
      <c r="J322" t="s">
        <v>29</v>
      </c>
      <c r="K322" t="s">
        <v>22</v>
      </c>
      <c r="L322" t="s">
        <v>25</v>
      </c>
      <c r="M322" t="s">
        <v>18</v>
      </c>
      <c r="N322">
        <v>6</v>
      </c>
      <c r="R322" t="s">
        <v>33</v>
      </c>
      <c r="S322" t="s">
        <v>14</v>
      </c>
      <c r="T322">
        <v>254</v>
      </c>
      <c r="U322" t="str">
        <f>_xlfn.IFNA(_xlfn.IFS(E322&gt;Dash!$D$46, "Big", E322&lt;Dash!$D$49, "Small", E322&gt;Dash!$D$47, "Good"), "Norm")</f>
        <v>Norm</v>
      </c>
      <c r="V322" t="s">
        <v>13</v>
      </c>
      <c r="W322">
        <v>229</v>
      </c>
      <c r="X322" t="s">
        <v>38</v>
      </c>
      <c r="Y322" s="1">
        <v>45635</v>
      </c>
      <c r="Z322">
        <v>44</v>
      </c>
      <c r="AA322" t="str">
        <f>_xlfn.IFNA(_xlfn.IFS(Z322&gt;Dash!$E$46, "Big", Z322&lt;Dash!$E$49, "Small", Z322&gt;Dash!$E$47, "Good"), "Norm")</f>
        <v>Norm</v>
      </c>
      <c r="AB322">
        <v>120.25</v>
      </c>
      <c r="AC322" t="str">
        <f>_xlfn.IFNA(_xlfn.IFS(AB322&gt;Dash!$F$46, "Big", AB322&lt;Dash!$F$49, "Small", AB322&gt;Dash!$F$47, "Good"), "Norm")</f>
        <v>Good</v>
      </c>
      <c r="AD322">
        <v>212.75</v>
      </c>
      <c r="AE322" t="str">
        <f>_xlfn.IFNA(_xlfn.IFS(AD322&gt;Dash!$G$46, "Big", AD322&lt;Dash!$G$49, "Small", AD322&gt;Dash!$G$47, "Good"), "Norm")</f>
        <v>Good</v>
      </c>
      <c r="AF322">
        <v>108.5</v>
      </c>
      <c r="AG322" t="str">
        <f>_xlfn.IFNA(_xlfn.IFS(AF322&gt;Dash!$H$46, "Big", AF322&lt;Dash!$H$49, "Small", AF322&gt;Dash!$H$47, "Good"), "Norm")</f>
        <v>Norm</v>
      </c>
      <c r="AH322">
        <v>24.25</v>
      </c>
      <c r="AI322" t="str">
        <f>_xlfn.IFNA(_xlfn.IFS(AH322&gt;Dash!$I$46, "Big", AH322&lt;Dash!$I$49, "Small", AH322&gt;Dash!$I$47, "Good"), "Norm")</f>
        <v>Norm</v>
      </c>
    </row>
    <row r="323" spans="1:35" x14ac:dyDescent="0.25">
      <c r="A323" s="1">
        <v>45636</v>
      </c>
      <c r="B323" t="s">
        <v>19</v>
      </c>
      <c r="C323" t="s">
        <v>33</v>
      </c>
      <c r="D323" t="s">
        <v>14</v>
      </c>
      <c r="E323">
        <v>254</v>
      </c>
      <c r="F323">
        <v>1400</v>
      </c>
      <c r="J323" t="s">
        <v>21</v>
      </c>
      <c r="K323" t="s">
        <v>35</v>
      </c>
      <c r="L323" t="s">
        <v>17</v>
      </c>
      <c r="M323" t="s">
        <v>18</v>
      </c>
      <c r="N323">
        <v>6</v>
      </c>
      <c r="R323" t="s">
        <v>20</v>
      </c>
      <c r="S323" t="s">
        <v>28</v>
      </c>
      <c r="T323">
        <v>383.75</v>
      </c>
      <c r="U323" t="str">
        <f>_xlfn.IFNA(_xlfn.IFS(E323&gt;Dash!$D$46, "Big", E323&lt;Dash!$D$49, "Small", E323&gt;Dash!$D$47, "Good"), "Norm")</f>
        <v>Good</v>
      </c>
      <c r="V323" t="s">
        <v>41</v>
      </c>
      <c r="W323">
        <v>212.75</v>
      </c>
      <c r="X323" t="s">
        <v>43</v>
      </c>
      <c r="Y323" s="1">
        <v>45636</v>
      </c>
      <c r="Z323">
        <v>32.25</v>
      </c>
      <c r="AA323" t="str">
        <f>_xlfn.IFNA(_xlfn.IFS(Z323&gt;Dash!$E$46, "Big", Z323&lt;Dash!$E$49, "Small", Z323&gt;Dash!$E$47, "Good"), "Norm")</f>
        <v>Small</v>
      </c>
      <c r="AB323">
        <v>87.25</v>
      </c>
      <c r="AC323" t="str">
        <f>_xlfn.IFNA(_xlfn.IFS(AB323&gt;Dash!$F$46, "Big", AB323&lt;Dash!$F$49, "Small", AB323&gt;Dash!$F$47, "Good"), "Norm")</f>
        <v>Norm</v>
      </c>
      <c r="AD323">
        <v>157.75</v>
      </c>
      <c r="AE323" t="str">
        <f>_xlfn.IFNA(_xlfn.IFS(AD323&gt;Dash!$G$46, "Big", AD323&lt;Dash!$G$49, "Small", AD323&gt;Dash!$G$47, "Good"), "Norm")</f>
        <v>Norm</v>
      </c>
      <c r="AF323">
        <v>149.75</v>
      </c>
      <c r="AG323" t="str">
        <f>_xlfn.IFNA(_xlfn.IFS(AF323&gt;Dash!$H$46, "Big", AF323&lt;Dash!$H$49, "Small", AF323&gt;Dash!$H$47, "Good"), "Norm")</f>
        <v>Norm</v>
      </c>
      <c r="AH323">
        <v>30.75</v>
      </c>
      <c r="AI323" t="str">
        <f>_xlfn.IFNA(_xlfn.IFS(AH323&gt;Dash!$I$46, "Big", AH323&lt;Dash!$I$49, "Small", AH323&gt;Dash!$I$47, "Good"), "Norm")</f>
        <v>Norm</v>
      </c>
    </row>
    <row r="324" spans="1:35" x14ac:dyDescent="0.25">
      <c r="A324" s="1">
        <v>45637</v>
      </c>
      <c r="B324" t="s">
        <v>18</v>
      </c>
      <c r="C324" t="s">
        <v>20</v>
      </c>
      <c r="D324" t="s">
        <v>28</v>
      </c>
      <c r="E324">
        <v>383.75</v>
      </c>
      <c r="F324">
        <v>900</v>
      </c>
      <c r="J324" t="s">
        <v>27</v>
      </c>
      <c r="K324" t="s">
        <v>39</v>
      </c>
      <c r="L324" t="s">
        <v>32</v>
      </c>
      <c r="M324" t="s">
        <v>18</v>
      </c>
      <c r="N324">
        <v>6</v>
      </c>
      <c r="R324" t="s">
        <v>13</v>
      </c>
      <c r="S324">
        <v>1</v>
      </c>
      <c r="T324">
        <v>120.25</v>
      </c>
      <c r="U324" t="str">
        <f>_xlfn.IFNA(_xlfn.IFS(E324&gt;Dash!$D$46, "Big", E324&lt;Dash!$D$49, "Small", E324&gt;Dash!$D$47, "Good"), "Norm")</f>
        <v>Good</v>
      </c>
      <c r="V324" t="s">
        <v>33</v>
      </c>
      <c r="W324">
        <v>254</v>
      </c>
      <c r="X324" t="s">
        <v>14</v>
      </c>
      <c r="Y324" s="1">
        <v>45637</v>
      </c>
      <c r="Z324">
        <v>40</v>
      </c>
      <c r="AA324" t="str">
        <f>_xlfn.IFNA(_xlfn.IFS(Z324&gt;Dash!$E$46, "Big", Z324&lt;Dash!$E$49, "Small", Z324&gt;Dash!$E$47, "Good"), "Norm")</f>
        <v>Small</v>
      </c>
      <c r="AB324">
        <v>53.75</v>
      </c>
      <c r="AC324" t="str">
        <f>_xlfn.IFNA(_xlfn.IFS(AB324&gt;Dash!$F$46, "Big", AB324&lt;Dash!$F$49, "Small", AB324&gt;Dash!$F$47, "Good"), "Norm")</f>
        <v>Small</v>
      </c>
      <c r="AD324">
        <v>333.75</v>
      </c>
      <c r="AE324" t="str">
        <f>_xlfn.IFNA(_xlfn.IFS(AD324&gt;Dash!$G$46, "Big", AD324&lt;Dash!$G$49, "Small", AD324&gt;Dash!$G$47, "Good"), "Norm")</f>
        <v>Big</v>
      </c>
      <c r="AF324">
        <v>61</v>
      </c>
      <c r="AG324" t="str">
        <f>_xlfn.IFNA(_xlfn.IFS(AF324&gt;Dash!$H$46, "Big", AF324&lt;Dash!$H$49, "Small", AF324&gt;Dash!$H$47, "Good"), "Norm")</f>
        <v>Small</v>
      </c>
      <c r="AH324">
        <v>42.25</v>
      </c>
      <c r="AI324" t="str">
        <f>_xlfn.IFNA(_xlfn.IFS(AH324&gt;Dash!$I$46, "Big", AH324&lt;Dash!$I$49, "Small", AH324&gt;Dash!$I$47, "Good"), "Norm")</f>
        <v>Good</v>
      </c>
    </row>
    <row r="325" spans="1:35" x14ac:dyDescent="0.25">
      <c r="A325" s="1">
        <v>45638</v>
      </c>
      <c r="B325" t="s">
        <v>36</v>
      </c>
      <c r="C325" t="s">
        <v>13</v>
      </c>
      <c r="D325">
        <v>1</v>
      </c>
      <c r="E325">
        <v>120.25</v>
      </c>
      <c r="J325" t="s">
        <v>34</v>
      </c>
      <c r="K325" t="s">
        <v>16</v>
      </c>
      <c r="L325" t="s">
        <v>42</v>
      </c>
      <c r="M325" t="s">
        <v>18</v>
      </c>
      <c r="N325">
        <v>6</v>
      </c>
      <c r="R325" t="s">
        <v>41</v>
      </c>
      <c r="S325" t="s">
        <v>40</v>
      </c>
      <c r="T325">
        <v>241.5</v>
      </c>
      <c r="U325" t="str">
        <f>_xlfn.IFNA(_xlfn.IFS(E325&gt;Dash!$D$46, "Big", E325&lt;Dash!$D$49, "Small", E325&gt;Dash!$D$47, "Good"), "Norm")</f>
        <v>Small</v>
      </c>
      <c r="V325" t="s">
        <v>20</v>
      </c>
      <c r="W325">
        <v>383.75</v>
      </c>
      <c r="X325" t="s">
        <v>28</v>
      </c>
      <c r="Y325" s="1">
        <v>45638</v>
      </c>
      <c r="Z325">
        <v>30</v>
      </c>
      <c r="AA325" t="str">
        <f>_xlfn.IFNA(_xlfn.IFS(Z325&gt;Dash!$E$46, "Big", Z325&lt;Dash!$E$49, "Small", Z325&gt;Dash!$E$47, "Good"), "Norm")</f>
        <v>Small</v>
      </c>
      <c r="AB325">
        <v>77.75</v>
      </c>
      <c r="AC325" t="str">
        <f>_xlfn.IFNA(_xlfn.IFS(AB325&gt;Dash!$F$46, "Big", AB325&lt;Dash!$F$49, "Small", AB325&gt;Dash!$F$47, "Good"), "Norm")</f>
        <v>Norm</v>
      </c>
      <c r="AD325">
        <v>115</v>
      </c>
      <c r="AE325" t="str">
        <f>_xlfn.IFNA(_xlfn.IFS(AD325&gt;Dash!$G$46, "Big", AD325&lt;Dash!$G$49, "Small", AD325&gt;Dash!$G$47, "Good"), "Norm")</f>
        <v>Small</v>
      </c>
      <c r="AF325">
        <v>102.75</v>
      </c>
      <c r="AG325" t="str">
        <f>_xlfn.IFNA(_xlfn.IFS(AF325&gt;Dash!$H$46, "Big", AF325&lt;Dash!$H$49, "Small", AF325&gt;Dash!$H$47, "Good"), "Norm")</f>
        <v>Norm</v>
      </c>
      <c r="AH325">
        <v>80.75</v>
      </c>
      <c r="AI325" t="str">
        <f>_xlfn.IFNA(_xlfn.IFS(AH325&gt;Dash!$I$46, "Big", AH325&lt;Dash!$I$49, "Small", AH325&gt;Dash!$I$47, "Good"), "Norm")</f>
        <v>Good</v>
      </c>
    </row>
    <row r="326" spans="1:35" x14ac:dyDescent="0.25">
      <c r="A326" s="1">
        <v>45639</v>
      </c>
      <c r="B326" t="s">
        <v>26</v>
      </c>
      <c r="C326" t="s">
        <v>41</v>
      </c>
      <c r="D326" t="s">
        <v>40</v>
      </c>
      <c r="E326">
        <v>241.5</v>
      </c>
      <c r="F326">
        <v>400</v>
      </c>
      <c r="J326" t="s">
        <v>30</v>
      </c>
      <c r="K326" t="s">
        <v>35</v>
      </c>
      <c r="L326" t="s">
        <v>25</v>
      </c>
      <c r="M326" t="s">
        <v>18</v>
      </c>
      <c r="N326">
        <v>6</v>
      </c>
      <c r="R326" t="s">
        <v>13</v>
      </c>
      <c r="S326" t="s">
        <v>40</v>
      </c>
      <c r="T326">
        <v>284</v>
      </c>
      <c r="U326" t="str">
        <f>_xlfn.IFNA(_xlfn.IFS(E326&gt;Dash!$D$46, "Big", E326&lt;Dash!$D$49, "Small", E326&gt;Dash!$D$47, "Good"), "Norm")</f>
        <v>Norm</v>
      </c>
      <c r="V326" t="s">
        <v>13</v>
      </c>
      <c r="W326">
        <v>120.25</v>
      </c>
      <c r="X326">
        <v>1</v>
      </c>
      <c r="Y326" s="1">
        <v>45639</v>
      </c>
      <c r="Z326">
        <v>71</v>
      </c>
      <c r="AA326" t="str">
        <f>_xlfn.IFNA(_xlfn.IFS(Z326&gt;Dash!$E$46, "Big", Z326&lt;Dash!$E$49, "Small", Z326&gt;Dash!$E$47, "Good"), "Norm")</f>
        <v>Norm</v>
      </c>
      <c r="AB326">
        <v>111.25</v>
      </c>
      <c r="AC326" t="str">
        <f>_xlfn.IFNA(_xlfn.IFS(AB326&gt;Dash!$F$46, "Big", AB326&lt;Dash!$F$49, "Small", AB326&gt;Dash!$F$47, "Good"), "Norm")</f>
        <v>Good</v>
      </c>
      <c r="AD326">
        <v>241.5</v>
      </c>
      <c r="AE326" t="str">
        <f>_xlfn.IFNA(_xlfn.IFS(AD326&gt;Dash!$G$46, "Big", AD326&lt;Dash!$G$49, "Small", AD326&gt;Dash!$G$47, "Good"), "Norm")</f>
        <v>Good</v>
      </c>
      <c r="AF326">
        <v>144.5</v>
      </c>
      <c r="AG326" t="str">
        <f>_xlfn.IFNA(_xlfn.IFS(AF326&gt;Dash!$H$46, "Big", AF326&lt;Dash!$H$49, "Small", AF326&gt;Dash!$H$47, "Good"), "Norm")</f>
        <v>Norm</v>
      </c>
      <c r="AH326">
        <v>46.25</v>
      </c>
      <c r="AI326" t="str">
        <f>_xlfn.IFNA(_xlfn.IFS(AH326&gt;Dash!$I$46, "Big", AH326&lt;Dash!$I$49, "Small", AH326&gt;Dash!$I$47, "Good"), "Norm")</f>
        <v>Good</v>
      </c>
    </row>
    <row r="327" spans="1:35" x14ac:dyDescent="0.25">
      <c r="A327" s="1">
        <v>45642</v>
      </c>
      <c r="B327" t="s">
        <v>23</v>
      </c>
      <c r="C327" t="s">
        <v>13</v>
      </c>
      <c r="D327" t="s">
        <v>40</v>
      </c>
      <c r="E327">
        <v>284</v>
      </c>
      <c r="F327">
        <v>1800</v>
      </c>
      <c r="G327">
        <v>1800</v>
      </c>
      <c r="J327" t="s">
        <v>29</v>
      </c>
      <c r="K327" t="s">
        <v>31</v>
      </c>
      <c r="L327" t="s">
        <v>32</v>
      </c>
      <c r="M327" t="s">
        <v>23</v>
      </c>
      <c r="N327">
        <v>11</v>
      </c>
      <c r="R327" t="s">
        <v>24</v>
      </c>
      <c r="S327">
        <v>1</v>
      </c>
      <c r="T327">
        <v>141.75</v>
      </c>
      <c r="U327" t="str">
        <f>_xlfn.IFNA(_xlfn.IFS(E327&gt;Dash!$D$46, "Big", E327&lt;Dash!$D$49, "Small", E327&gt;Dash!$D$47, "Good"), "Norm")</f>
        <v>Good</v>
      </c>
      <c r="V327" t="s">
        <v>41</v>
      </c>
      <c r="W327">
        <v>241.5</v>
      </c>
      <c r="X327" t="s">
        <v>40</v>
      </c>
      <c r="Y327" s="1">
        <v>45642</v>
      </c>
      <c r="Z327">
        <v>60.25</v>
      </c>
      <c r="AA327" t="str">
        <f>_xlfn.IFNA(_xlfn.IFS(Z327&gt;Dash!$E$46, "Big", Z327&lt;Dash!$E$49, "Small", Z327&gt;Dash!$E$47, "Good"), "Norm")</f>
        <v>Norm</v>
      </c>
      <c r="AB327">
        <v>103</v>
      </c>
      <c r="AC327" t="str">
        <f>_xlfn.IFNA(_xlfn.IFS(AB327&gt;Dash!$F$46, "Big", AB327&lt;Dash!$F$49, "Small", AB327&gt;Dash!$F$47, "Good"), "Norm")</f>
        <v>Good</v>
      </c>
      <c r="AD327">
        <v>185.5</v>
      </c>
      <c r="AE327" t="str">
        <f>_xlfn.IFNA(_xlfn.IFS(AD327&gt;Dash!$G$46, "Big", AD327&lt;Dash!$G$49, "Small", AD327&gt;Dash!$G$47, "Good"), "Norm")</f>
        <v>Norm</v>
      </c>
      <c r="AF327">
        <v>117.75</v>
      </c>
      <c r="AG327" t="str">
        <f>_xlfn.IFNA(_xlfn.IFS(AF327&gt;Dash!$H$46, "Big", AF327&lt;Dash!$H$49, "Small", AF327&gt;Dash!$H$47, "Good"), "Norm")</f>
        <v>Norm</v>
      </c>
      <c r="AH327">
        <v>25.25</v>
      </c>
      <c r="AI327" t="str">
        <f>_xlfn.IFNA(_xlfn.IFS(AH327&gt;Dash!$I$46, "Big", AH327&lt;Dash!$I$49, "Small", AH327&gt;Dash!$I$47, "Good"), "Norm")</f>
        <v>Norm</v>
      </c>
    </row>
    <row r="328" spans="1:35" x14ac:dyDescent="0.25">
      <c r="A328" s="1">
        <v>45643</v>
      </c>
      <c r="B328" t="s">
        <v>19</v>
      </c>
      <c r="C328" t="s">
        <v>24</v>
      </c>
      <c r="D328">
        <v>1</v>
      </c>
      <c r="E328">
        <v>141.75</v>
      </c>
      <c r="J328" t="s">
        <v>34</v>
      </c>
      <c r="K328" t="s">
        <v>16</v>
      </c>
      <c r="L328" t="s">
        <v>25</v>
      </c>
      <c r="M328" t="s">
        <v>23</v>
      </c>
      <c r="N328">
        <v>11</v>
      </c>
      <c r="R328" t="s">
        <v>20</v>
      </c>
      <c r="S328" t="s">
        <v>14</v>
      </c>
      <c r="T328">
        <v>948.75</v>
      </c>
      <c r="U328" t="str">
        <f>_xlfn.IFNA(_xlfn.IFS(E328&gt;Dash!$D$46, "Big", E328&lt;Dash!$D$49, "Small", E328&gt;Dash!$D$47, "Good"), "Norm")</f>
        <v>Small</v>
      </c>
      <c r="V328" t="s">
        <v>13</v>
      </c>
      <c r="W328">
        <v>284</v>
      </c>
      <c r="X328" t="s">
        <v>40</v>
      </c>
      <c r="Y328" s="1">
        <v>45643</v>
      </c>
      <c r="Z328">
        <v>49.25</v>
      </c>
      <c r="AA328" t="str">
        <f>_xlfn.IFNA(_xlfn.IFS(Z328&gt;Dash!$E$46, "Big", Z328&lt;Dash!$E$49, "Small", Z328&gt;Dash!$E$47, "Good"), "Norm")</f>
        <v>Norm</v>
      </c>
      <c r="AB328">
        <v>99.5</v>
      </c>
      <c r="AC328" t="str">
        <f>_xlfn.IFNA(_xlfn.IFS(AB328&gt;Dash!$F$46, "Big", AB328&lt;Dash!$F$49, "Small", AB328&gt;Dash!$F$47, "Good"), "Norm")</f>
        <v>Good</v>
      </c>
      <c r="AD328">
        <v>141.75</v>
      </c>
      <c r="AE328" t="str">
        <f>_xlfn.IFNA(_xlfn.IFS(AD328&gt;Dash!$G$46, "Big", AD328&lt;Dash!$G$49, "Small", AD328&gt;Dash!$G$47, "Good"), "Norm")</f>
        <v>Norm</v>
      </c>
      <c r="AF328">
        <v>104.75</v>
      </c>
      <c r="AG328" t="str">
        <f>_xlfn.IFNA(_xlfn.IFS(AF328&gt;Dash!$H$46, "Big", AF328&lt;Dash!$H$49, "Small", AF328&gt;Dash!$H$47, "Good"), "Norm")</f>
        <v>Norm</v>
      </c>
      <c r="AH328">
        <v>33</v>
      </c>
      <c r="AI328" t="str">
        <f>_xlfn.IFNA(_xlfn.IFS(AH328&gt;Dash!$I$46, "Big", AH328&lt;Dash!$I$49, "Small", AH328&gt;Dash!$I$47, "Good"), "Norm")</f>
        <v>Norm</v>
      </c>
    </row>
    <row r="329" spans="1:35" x14ac:dyDescent="0.25">
      <c r="A329" s="1">
        <v>45644</v>
      </c>
      <c r="B329" t="s">
        <v>18</v>
      </c>
      <c r="C329" t="s">
        <v>20</v>
      </c>
      <c r="D329" t="s">
        <v>14</v>
      </c>
      <c r="E329">
        <v>948.75</v>
      </c>
      <c r="F329">
        <v>1800</v>
      </c>
      <c r="G329">
        <v>1800</v>
      </c>
      <c r="J329" t="s">
        <v>37</v>
      </c>
      <c r="K329" t="s">
        <v>22</v>
      </c>
      <c r="L329" t="s">
        <v>17</v>
      </c>
      <c r="M329" t="s">
        <v>23</v>
      </c>
      <c r="N329">
        <v>11</v>
      </c>
      <c r="R329" t="s">
        <v>33</v>
      </c>
      <c r="S329">
        <v>1</v>
      </c>
      <c r="T329">
        <v>334.75</v>
      </c>
      <c r="U329" t="str">
        <f>_xlfn.IFNA(_xlfn.IFS(E329&gt;Dash!$D$46, "Big", E329&lt;Dash!$D$49, "Small", E329&gt;Dash!$D$47, "Good"), "Norm")</f>
        <v>Big</v>
      </c>
      <c r="V329" t="s">
        <v>24</v>
      </c>
      <c r="W329">
        <v>141.75</v>
      </c>
      <c r="X329">
        <v>1</v>
      </c>
      <c r="Y329" s="1">
        <v>45644</v>
      </c>
      <c r="Z329">
        <v>142</v>
      </c>
      <c r="AA329" t="str">
        <f>_xlfn.IFNA(_xlfn.IFS(Z329&gt;Dash!$E$46, "Big", Z329&lt;Dash!$E$49, "Small", Z329&gt;Dash!$E$47, "Good"), "Norm")</f>
        <v>Big</v>
      </c>
      <c r="AB329">
        <v>73.75</v>
      </c>
      <c r="AC329" t="str">
        <f>_xlfn.IFNA(_xlfn.IFS(AB329&gt;Dash!$F$46, "Big", AB329&lt;Dash!$F$49, "Small", AB329&gt;Dash!$F$47, "Good"), "Norm")</f>
        <v>Norm</v>
      </c>
      <c r="AD329">
        <v>167.5</v>
      </c>
      <c r="AE329" t="str">
        <f>_xlfn.IFNA(_xlfn.IFS(AD329&gt;Dash!$G$46, "Big", AD329&lt;Dash!$G$49, "Small", AD329&gt;Dash!$G$47, "Good"), "Norm")</f>
        <v>Norm</v>
      </c>
      <c r="AF329">
        <v>892.75</v>
      </c>
      <c r="AG329" t="str">
        <f>_xlfn.IFNA(_xlfn.IFS(AF329&gt;Dash!$H$46, "Big", AF329&lt;Dash!$H$49, "Small", AF329&gt;Dash!$H$47, "Good"), "Norm")</f>
        <v>Big</v>
      </c>
      <c r="AH329">
        <v>204.5</v>
      </c>
      <c r="AI329" t="str">
        <f>_xlfn.IFNA(_xlfn.IFS(AH329&gt;Dash!$I$46, "Big", AH329&lt;Dash!$I$49, "Small", AH329&gt;Dash!$I$47, "Good"), "Norm")</f>
        <v>Big</v>
      </c>
    </row>
    <row r="330" spans="1:35" x14ac:dyDescent="0.25">
      <c r="A330" s="1">
        <v>45645</v>
      </c>
      <c r="B330" t="s">
        <v>36</v>
      </c>
      <c r="C330" t="s">
        <v>33</v>
      </c>
      <c r="D330">
        <v>1</v>
      </c>
      <c r="E330">
        <v>334.75</v>
      </c>
      <c r="J330" t="s">
        <v>34</v>
      </c>
      <c r="K330" t="s">
        <v>35</v>
      </c>
      <c r="L330" t="s">
        <v>17</v>
      </c>
      <c r="M330" t="s">
        <v>23</v>
      </c>
      <c r="N330">
        <v>11</v>
      </c>
      <c r="R330" t="s">
        <v>20</v>
      </c>
      <c r="S330" t="s">
        <v>38</v>
      </c>
      <c r="T330">
        <v>741.75</v>
      </c>
      <c r="U330" t="str">
        <f>_xlfn.IFNA(_xlfn.IFS(E330&gt;Dash!$D$46, "Big", E330&lt;Dash!$D$49, "Small", E330&gt;Dash!$D$47, "Good"), "Norm")</f>
        <v>Good</v>
      </c>
      <c r="V330" t="s">
        <v>20</v>
      </c>
      <c r="W330">
        <v>948.75</v>
      </c>
      <c r="X330" t="s">
        <v>14</v>
      </c>
      <c r="Y330" s="1">
        <v>45645</v>
      </c>
      <c r="Z330">
        <v>122</v>
      </c>
      <c r="AA330" t="str">
        <f>_xlfn.IFNA(_xlfn.IFS(Z330&gt;Dash!$E$46, "Big", Z330&lt;Dash!$E$49, "Small", Z330&gt;Dash!$E$47, "Good"), "Norm")</f>
        <v>Good</v>
      </c>
      <c r="AB330">
        <v>194.25</v>
      </c>
      <c r="AC330" t="str">
        <f>_xlfn.IFNA(_xlfn.IFS(AB330&gt;Dash!$F$46, "Big", AB330&lt;Dash!$F$49, "Small", AB330&gt;Dash!$F$47, "Good"), "Norm")</f>
        <v>Big</v>
      </c>
      <c r="AD330">
        <v>236.75</v>
      </c>
      <c r="AE330" t="str">
        <f>_xlfn.IFNA(_xlfn.IFS(AD330&gt;Dash!$G$46, "Big", AD330&lt;Dash!$G$49, "Small", AD330&gt;Dash!$G$47, "Good"), "Norm")</f>
        <v>Good</v>
      </c>
      <c r="AF330">
        <v>236</v>
      </c>
      <c r="AG330" t="str">
        <f>_xlfn.IFNA(_xlfn.IFS(AF330&gt;Dash!$H$46, "Big", AF330&lt;Dash!$H$49, "Small", AF330&gt;Dash!$H$47, "Good"), "Norm")</f>
        <v>Big</v>
      </c>
      <c r="AH330">
        <v>73.75</v>
      </c>
      <c r="AI330" t="str">
        <f>_xlfn.IFNA(_xlfn.IFS(AH330&gt;Dash!$I$46, "Big", AH330&lt;Dash!$I$49, "Small", AH330&gt;Dash!$I$47, "Good"), "Norm")</f>
        <v>Good</v>
      </c>
    </row>
    <row r="331" spans="1:35" x14ac:dyDescent="0.25">
      <c r="A331" s="1">
        <v>45646</v>
      </c>
      <c r="B331" t="s">
        <v>26</v>
      </c>
      <c r="C331" t="s">
        <v>20</v>
      </c>
      <c r="D331" t="s">
        <v>38</v>
      </c>
      <c r="E331">
        <v>741.75</v>
      </c>
      <c r="F331">
        <v>1900</v>
      </c>
      <c r="G331">
        <v>1000</v>
      </c>
      <c r="H331">
        <v>1100</v>
      </c>
      <c r="I331">
        <v>1300</v>
      </c>
      <c r="J331" t="s">
        <v>37</v>
      </c>
      <c r="K331" t="s">
        <v>39</v>
      </c>
      <c r="L331" t="s">
        <v>32</v>
      </c>
      <c r="M331" t="s">
        <v>23</v>
      </c>
      <c r="N331">
        <v>11</v>
      </c>
      <c r="O331" t="s">
        <v>67</v>
      </c>
      <c r="R331" t="s">
        <v>33</v>
      </c>
      <c r="S331">
        <v>1</v>
      </c>
      <c r="T331">
        <v>300</v>
      </c>
      <c r="U331" t="str">
        <f>_xlfn.IFNA(_xlfn.IFS(E331&gt;Dash!$D$46, "Big", E331&lt;Dash!$D$49, "Small", E331&gt;Dash!$D$47, "Good"), "Norm")</f>
        <v>Big</v>
      </c>
      <c r="V331" t="s">
        <v>33</v>
      </c>
      <c r="W331">
        <v>334.75</v>
      </c>
      <c r="X331">
        <v>1</v>
      </c>
      <c r="Y331" s="1">
        <v>45646</v>
      </c>
      <c r="Z331">
        <v>225.25</v>
      </c>
      <c r="AA331" t="str">
        <f>_xlfn.IFNA(_xlfn.IFS(Z331&gt;Dash!$E$46, "Big", Z331&lt;Dash!$E$49, "Small", Z331&gt;Dash!$E$47, "Good"), "Norm")</f>
        <v>Big</v>
      </c>
      <c r="AB331">
        <v>295</v>
      </c>
      <c r="AC331" t="str">
        <f>_xlfn.IFNA(_xlfn.IFS(AB331&gt;Dash!$F$46, "Big", AB331&lt;Dash!$F$49, "Small", AB331&gt;Dash!$F$47, "Good"), "Norm")</f>
        <v>Big</v>
      </c>
      <c r="AD331">
        <v>715</v>
      </c>
      <c r="AE331" t="str">
        <f>_xlfn.IFNA(_xlfn.IFS(AD331&gt;Dash!$G$46, "Big", AD331&lt;Dash!$G$49, "Small", AD331&gt;Dash!$G$47, "Good"), "Norm")</f>
        <v>Big</v>
      </c>
      <c r="AF331">
        <v>294.5</v>
      </c>
      <c r="AG331" t="str">
        <f>_xlfn.IFNA(_xlfn.IFS(AF331&gt;Dash!$H$46, "Big", AF331&lt;Dash!$H$49, "Small", AF331&gt;Dash!$H$47, "Good"), "Norm")</f>
        <v>Big</v>
      </c>
      <c r="AH331">
        <v>116.5</v>
      </c>
      <c r="AI331" t="str">
        <f>_xlfn.IFNA(_xlfn.IFS(AH331&gt;Dash!$I$46, "Big", AH331&lt;Dash!$I$49, "Small", AH331&gt;Dash!$I$47, "Good"), "Norm")</f>
        <v>Big</v>
      </c>
    </row>
    <row r="332" spans="1:35" x14ac:dyDescent="0.25">
      <c r="A332" s="1">
        <v>45649</v>
      </c>
      <c r="B332" t="s">
        <v>23</v>
      </c>
      <c r="C332" t="s">
        <v>33</v>
      </c>
      <c r="D332">
        <v>1</v>
      </c>
      <c r="E332">
        <v>300</v>
      </c>
      <c r="J332" t="s">
        <v>34</v>
      </c>
      <c r="K332" t="s">
        <v>25</v>
      </c>
      <c r="L332" t="s">
        <v>35</v>
      </c>
      <c r="M332" t="s">
        <v>36</v>
      </c>
      <c r="N332">
        <v>1</v>
      </c>
      <c r="R332" t="s">
        <v>13</v>
      </c>
      <c r="S332" t="s">
        <v>28</v>
      </c>
      <c r="T332">
        <v>297</v>
      </c>
      <c r="U332" t="str">
        <f>_xlfn.IFNA(_xlfn.IFS(E332&gt;Dash!$D$46, "Big", E332&lt;Dash!$D$49, "Small", E332&gt;Dash!$D$47, "Good"), "Norm")</f>
        <v>Good</v>
      </c>
      <c r="V332" t="s">
        <v>20</v>
      </c>
      <c r="W332">
        <v>741.75</v>
      </c>
      <c r="X332" t="s">
        <v>38</v>
      </c>
      <c r="Y332" s="1">
        <v>45649</v>
      </c>
      <c r="Z332">
        <v>176</v>
      </c>
      <c r="AA332" t="str">
        <f>_xlfn.IFNA(_xlfn.IFS(Z332&gt;Dash!$E$46, "Big", Z332&lt;Dash!$E$49, "Small", Z332&gt;Dash!$E$47, "Good"), "Norm")</f>
        <v>Big</v>
      </c>
      <c r="AB332">
        <v>162.75</v>
      </c>
      <c r="AC332" t="str">
        <f>_xlfn.IFNA(_xlfn.IFS(AB332&gt;Dash!$F$46, "Big", AB332&lt;Dash!$F$49, "Small", AB332&gt;Dash!$F$47, "Good"), "Norm")</f>
        <v>Big</v>
      </c>
      <c r="AD332">
        <v>219.25</v>
      </c>
      <c r="AE332" t="str">
        <f>_xlfn.IFNA(_xlfn.IFS(AD332&gt;Dash!$G$46, "Big", AD332&lt;Dash!$G$49, "Small", AD332&gt;Dash!$G$47, "Good"), "Norm")</f>
        <v>Good</v>
      </c>
      <c r="AF332">
        <v>134.5</v>
      </c>
      <c r="AG332" t="str">
        <f>_xlfn.IFNA(_xlfn.IFS(AF332&gt;Dash!$H$46, "Big", AF332&lt;Dash!$H$49, "Small", AF332&gt;Dash!$H$47, "Good"), "Norm")</f>
        <v>Norm</v>
      </c>
      <c r="AH332">
        <v>52.5</v>
      </c>
      <c r="AI332" t="str">
        <f>_xlfn.IFNA(_xlfn.IFS(AH332&gt;Dash!$I$46, "Big", AH332&lt;Dash!$I$49, "Small", AH332&gt;Dash!$I$47, "Good"), "Norm")</f>
        <v>Good</v>
      </c>
    </row>
    <row r="333" spans="1:35" x14ac:dyDescent="0.25">
      <c r="A333" s="1">
        <v>45650</v>
      </c>
      <c r="B333" t="s">
        <v>19</v>
      </c>
      <c r="C333" t="s">
        <v>13</v>
      </c>
      <c r="D333" t="s">
        <v>28</v>
      </c>
      <c r="E333">
        <v>297</v>
      </c>
      <c r="F333">
        <v>200</v>
      </c>
      <c r="G333">
        <v>200</v>
      </c>
      <c r="J333" t="s">
        <v>30</v>
      </c>
      <c r="K333" t="s">
        <v>31</v>
      </c>
      <c r="L333" t="s">
        <v>32</v>
      </c>
      <c r="M333" t="s">
        <v>36</v>
      </c>
      <c r="N333">
        <v>1</v>
      </c>
      <c r="R333" t="s">
        <v>24</v>
      </c>
      <c r="S333" t="s">
        <v>28</v>
      </c>
      <c r="T333">
        <v>206</v>
      </c>
      <c r="U333" t="str">
        <f>_xlfn.IFNA(_xlfn.IFS(E333&gt;Dash!$D$46, "Big", E333&lt;Dash!$D$49, "Small", E333&gt;Dash!$D$47, "Good"), "Norm")</f>
        <v>Good</v>
      </c>
      <c r="V333" t="s">
        <v>33</v>
      </c>
      <c r="W333">
        <v>300</v>
      </c>
      <c r="X333">
        <v>1</v>
      </c>
      <c r="Y333" s="1">
        <v>45650</v>
      </c>
      <c r="Z333">
        <v>62</v>
      </c>
      <c r="AA333" t="str">
        <f>_xlfn.IFNA(_xlfn.IFS(Z333&gt;Dash!$E$46, "Big", Z333&lt;Dash!$E$49, "Small", Z333&gt;Dash!$E$47, "Good"), "Norm")</f>
        <v>Norm</v>
      </c>
      <c r="AB333">
        <v>68.25</v>
      </c>
      <c r="AC333" t="str">
        <f>_xlfn.IFNA(_xlfn.IFS(AB333&gt;Dash!$F$46, "Big", AB333&lt;Dash!$F$49, "Small", AB333&gt;Dash!$F$47, "Good"), "Norm")</f>
        <v>Norm</v>
      </c>
      <c r="AD333">
        <v>207.25</v>
      </c>
      <c r="AE333" t="str">
        <f>_xlfn.IFNA(_xlfn.IFS(AD333&gt;Dash!$G$46, "Big", AD333&lt;Dash!$G$49, "Small", AD333&gt;Dash!$G$47, "Good"), "Norm")</f>
        <v>Good</v>
      </c>
      <c r="AF333">
        <v>141.25</v>
      </c>
      <c r="AG333" t="str">
        <f>_xlfn.IFNA(_xlfn.IFS(AF333&gt;Dash!$H$46, "Big", AF333&lt;Dash!$H$49, "Small", AF333&gt;Dash!$H$47, "Good"), "Norm")</f>
        <v>Norm</v>
      </c>
      <c r="AH333">
        <v>41.75</v>
      </c>
      <c r="AI333" t="str">
        <f>_xlfn.IFNA(_xlfn.IFS(AH333&gt;Dash!$I$46, "Big", AH333&lt;Dash!$I$49, "Small", AH333&gt;Dash!$I$47, "Good"), "Norm")</f>
        <v>Good</v>
      </c>
    </row>
    <row r="334" spans="1:35" x14ac:dyDescent="0.25">
      <c r="A334" s="1">
        <v>45652</v>
      </c>
      <c r="B334" t="s">
        <v>36</v>
      </c>
      <c r="C334" t="s">
        <v>24</v>
      </c>
      <c r="D334" t="s">
        <v>28</v>
      </c>
      <c r="E334">
        <v>206</v>
      </c>
      <c r="F334">
        <v>1800</v>
      </c>
      <c r="G334">
        <v>1900</v>
      </c>
      <c r="J334" t="s">
        <v>29</v>
      </c>
      <c r="K334" t="s">
        <v>16</v>
      </c>
      <c r="L334" t="s">
        <v>25</v>
      </c>
      <c r="M334" t="s">
        <v>36</v>
      </c>
      <c r="N334">
        <v>1</v>
      </c>
      <c r="R334" t="s">
        <v>13</v>
      </c>
      <c r="S334" t="s">
        <v>14</v>
      </c>
      <c r="T334">
        <v>442</v>
      </c>
      <c r="U334" t="str">
        <f>_xlfn.IFNA(_xlfn.IFS(E334&gt;Dash!$D$46, "Big", E334&lt;Dash!$D$49, "Small", E334&gt;Dash!$D$47, "Good"), "Norm")</f>
        <v>Norm</v>
      </c>
      <c r="V334" t="s">
        <v>13</v>
      </c>
      <c r="W334">
        <v>297</v>
      </c>
      <c r="X334" t="s">
        <v>28</v>
      </c>
      <c r="Y334" s="1">
        <v>45652</v>
      </c>
      <c r="Z334">
        <v>68</v>
      </c>
      <c r="AA334" t="str">
        <f>_xlfn.IFNA(_xlfn.IFS(Z334&gt;Dash!$E$46, "Big", Z334&lt;Dash!$E$49, "Small", Z334&gt;Dash!$E$47, "Good"), "Norm")</f>
        <v>Norm</v>
      </c>
      <c r="AB334">
        <v>189.25</v>
      </c>
      <c r="AC334" t="str">
        <f>_xlfn.IFNA(_xlfn.IFS(AB334&gt;Dash!$F$46, "Big", AB334&lt;Dash!$F$49, "Small", AB334&gt;Dash!$F$47, "Good"), "Norm")</f>
        <v>Big</v>
      </c>
      <c r="AD334">
        <v>170.25</v>
      </c>
      <c r="AE334" t="str">
        <f>_xlfn.IFNA(_xlfn.IFS(AD334&gt;Dash!$G$46, "Big", AD334&lt;Dash!$G$49, "Small", AD334&gt;Dash!$G$47, "Good"), "Norm")</f>
        <v>Norm</v>
      </c>
      <c r="AF334">
        <v>103.5</v>
      </c>
      <c r="AG334" t="str">
        <f>_xlfn.IFNA(_xlfn.IFS(AF334&gt;Dash!$H$46, "Big", AF334&lt;Dash!$H$49, "Small", AF334&gt;Dash!$H$47, "Good"), "Norm")</f>
        <v>Norm</v>
      </c>
      <c r="AH334">
        <v>31.25</v>
      </c>
      <c r="AI334" t="str">
        <f>_xlfn.IFNA(_xlfn.IFS(AH334&gt;Dash!$I$46, "Big", AH334&lt;Dash!$I$49, "Small", AH334&gt;Dash!$I$47, "Good"), "Norm")</f>
        <v>Norm</v>
      </c>
    </row>
    <row r="335" spans="1:35" x14ac:dyDescent="0.25">
      <c r="A335" s="1">
        <v>45653</v>
      </c>
      <c r="B335" t="s">
        <v>26</v>
      </c>
      <c r="C335" t="s">
        <v>13</v>
      </c>
      <c r="D335" t="s">
        <v>14</v>
      </c>
      <c r="E335">
        <v>442</v>
      </c>
      <c r="F335">
        <v>900</v>
      </c>
      <c r="J335" t="s">
        <v>27</v>
      </c>
      <c r="K335" t="s">
        <v>16</v>
      </c>
      <c r="L335" t="s">
        <v>17</v>
      </c>
      <c r="M335" t="s">
        <v>36</v>
      </c>
      <c r="N335">
        <v>1</v>
      </c>
      <c r="R335" t="s">
        <v>24</v>
      </c>
      <c r="S335" t="s">
        <v>14</v>
      </c>
      <c r="T335">
        <v>318</v>
      </c>
      <c r="U335" t="str">
        <f>_xlfn.IFNA(_xlfn.IFS(E335&gt;Dash!$D$46, "Big", E335&lt;Dash!$D$49, "Small", E335&gt;Dash!$D$47, "Good"), "Norm")</f>
        <v>Big</v>
      </c>
      <c r="V335" t="s">
        <v>24</v>
      </c>
      <c r="W335">
        <v>206</v>
      </c>
      <c r="X335" t="s">
        <v>28</v>
      </c>
      <c r="Y335" s="1">
        <v>45653</v>
      </c>
      <c r="Z335">
        <v>82.25</v>
      </c>
      <c r="AA335" t="str">
        <f>_xlfn.IFNA(_xlfn.IFS(Z335&gt;Dash!$E$46, "Big", Z335&lt;Dash!$E$49, "Small", Z335&gt;Dash!$E$47, "Good"), "Norm")</f>
        <v>Good</v>
      </c>
      <c r="AB335">
        <v>57</v>
      </c>
      <c r="AC335" t="str">
        <f>_xlfn.IFNA(_xlfn.IFS(AB335&gt;Dash!$F$46, "Big", AB335&lt;Dash!$F$49, "Small", AB335&gt;Dash!$F$47, "Good"), "Norm")</f>
        <v>Small</v>
      </c>
      <c r="AD335">
        <v>433.75</v>
      </c>
      <c r="AE335" t="str">
        <f>_xlfn.IFNA(_xlfn.IFS(AD335&gt;Dash!$G$46, "Big", AD335&lt;Dash!$G$49, "Small", AD335&gt;Dash!$G$47, "Good"), "Norm")</f>
        <v>Big</v>
      </c>
      <c r="AF335">
        <v>217.75</v>
      </c>
      <c r="AG335" t="str">
        <f>_xlfn.IFNA(_xlfn.IFS(AF335&gt;Dash!$H$46, "Big", AF335&lt;Dash!$H$49, "Small", AF335&gt;Dash!$H$47, "Good"), "Norm")</f>
        <v>Good</v>
      </c>
      <c r="AH335">
        <v>69.25</v>
      </c>
      <c r="AI335" t="str">
        <f>_xlfn.IFNA(_xlfn.IFS(AH335&gt;Dash!$I$46, "Big", AH335&lt;Dash!$I$49, "Small", AH335&gt;Dash!$I$47, "Good"), "Norm")</f>
        <v>Good</v>
      </c>
    </row>
    <row r="336" spans="1:35" x14ac:dyDescent="0.25">
      <c r="A336" s="1">
        <v>45656</v>
      </c>
      <c r="B336" t="s">
        <v>23</v>
      </c>
      <c r="C336" t="s">
        <v>24</v>
      </c>
      <c r="D336" t="s">
        <v>14</v>
      </c>
      <c r="E336">
        <v>318</v>
      </c>
      <c r="F336">
        <v>700</v>
      </c>
      <c r="G336">
        <v>1200</v>
      </c>
      <c r="J336" t="s">
        <v>15</v>
      </c>
      <c r="K336" t="s">
        <v>16</v>
      </c>
      <c r="L336" t="s">
        <v>25</v>
      </c>
      <c r="M336" t="s">
        <v>36</v>
      </c>
      <c r="N336">
        <v>2</v>
      </c>
      <c r="R336" t="s">
        <v>20</v>
      </c>
      <c r="S336" t="s">
        <v>14</v>
      </c>
      <c r="T336">
        <v>317.5</v>
      </c>
      <c r="U336" t="str">
        <f>_xlfn.IFNA(_xlfn.IFS(E336&gt;Dash!$D$46, "Big", E336&lt;Dash!$D$49, "Small", E336&gt;Dash!$D$47, "Good"), "Norm")</f>
        <v>Good</v>
      </c>
      <c r="V336" t="s">
        <v>13</v>
      </c>
      <c r="W336">
        <v>442</v>
      </c>
      <c r="X336" t="s">
        <v>14</v>
      </c>
      <c r="Y336" s="1">
        <v>45656</v>
      </c>
      <c r="Z336">
        <v>95.25</v>
      </c>
      <c r="AA336" t="str">
        <f>_xlfn.IFNA(_xlfn.IFS(Z336&gt;Dash!$E$46, "Big", Z336&lt;Dash!$E$49, "Small", Z336&gt;Dash!$E$47, "Good"), "Norm")</f>
        <v>Good</v>
      </c>
      <c r="AB336">
        <v>231.5</v>
      </c>
      <c r="AC336" t="str">
        <f>_xlfn.IFNA(_xlfn.IFS(AB336&gt;Dash!$F$46, "Big", AB336&lt;Dash!$F$49, "Small", AB336&gt;Dash!$F$47, "Good"), "Norm")</f>
        <v>Big</v>
      </c>
      <c r="AD336">
        <v>243</v>
      </c>
      <c r="AE336" t="str">
        <f>_xlfn.IFNA(_xlfn.IFS(AD336&gt;Dash!$G$46, "Big", AD336&lt;Dash!$G$49, "Small", AD336&gt;Dash!$G$47, "Good"), "Norm")</f>
        <v>Good</v>
      </c>
      <c r="AF336">
        <v>162.5</v>
      </c>
      <c r="AG336" t="str">
        <f>_xlfn.IFNA(_xlfn.IFS(AF336&gt;Dash!$H$46, "Big", AF336&lt;Dash!$H$49, "Small", AF336&gt;Dash!$H$47, "Good"), "Norm")</f>
        <v>Good</v>
      </c>
      <c r="AH336">
        <v>53.5</v>
      </c>
      <c r="AI336" t="str">
        <f>_xlfn.IFNA(_xlfn.IFS(AH336&gt;Dash!$I$46, "Big", AH336&lt;Dash!$I$49, "Small", AH336&gt;Dash!$I$47, "Good"), "Norm")</f>
        <v>Good</v>
      </c>
    </row>
    <row r="337" spans="1:35" x14ac:dyDescent="0.25">
      <c r="A337" s="1">
        <v>45657</v>
      </c>
      <c r="B337" t="s">
        <v>19</v>
      </c>
      <c r="C337" t="s">
        <v>20</v>
      </c>
      <c r="D337" t="s">
        <v>14</v>
      </c>
      <c r="E337">
        <v>317.5</v>
      </c>
      <c r="F337">
        <v>1200</v>
      </c>
      <c r="G337">
        <v>1200</v>
      </c>
      <c r="J337" t="s">
        <v>21</v>
      </c>
      <c r="K337" t="s">
        <v>22</v>
      </c>
      <c r="L337" t="s">
        <v>17</v>
      </c>
      <c r="M337" t="s">
        <v>36</v>
      </c>
      <c r="N337">
        <v>2</v>
      </c>
      <c r="R337">
        <v>0</v>
      </c>
      <c r="S337">
        <v>0</v>
      </c>
      <c r="T337">
        <v>0</v>
      </c>
      <c r="U337" t="str">
        <f>_xlfn.IFNA(_xlfn.IFS(E337&gt;Dash!$D$46, "Big", E337&lt;Dash!$D$49, "Small", E337&gt;Dash!$D$47, "Good"), "Norm")</f>
        <v>Good</v>
      </c>
      <c r="V337" t="s">
        <v>24</v>
      </c>
      <c r="W337">
        <v>318</v>
      </c>
      <c r="X337" t="s">
        <v>14</v>
      </c>
      <c r="Y337" s="1">
        <v>45657</v>
      </c>
      <c r="Z337">
        <v>112.25</v>
      </c>
      <c r="AA337" t="str">
        <f>_xlfn.IFNA(_xlfn.IFS(Z337&gt;Dash!$E$46, "Big", Z337&lt;Dash!$E$49, "Small", Z337&gt;Dash!$E$47, "Good"), "Norm")</f>
        <v>Good</v>
      </c>
      <c r="AB337">
        <v>165.25</v>
      </c>
      <c r="AC337" t="str">
        <f>_xlfn.IFNA(_xlfn.IFS(AB337&gt;Dash!$F$46, "Big", AB337&lt;Dash!$F$49, "Small", AB337&gt;Dash!$F$47, "Good"), "Norm")</f>
        <v>Big</v>
      </c>
      <c r="AD337">
        <v>212.5</v>
      </c>
      <c r="AE337" t="str">
        <f>_xlfn.IFNA(_xlfn.IFS(AD337&gt;Dash!$G$46, "Big", AD337&lt;Dash!$G$49, "Small", AD337&gt;Dash!$G$47, "Good"), "Norm")</f>
        <v>Good</v>
      </c>
      <c r="AF337">
        <v>162</v>
      </c>
      <c r="AG337" t="str">
        <f>_xlfn.IFNA(_xlfn.IFS(AF337&gt;Dash!$H$46, "Big", AF337&lt;Dash!$H$49, "Small", AF337&gt;Dash!$H$47, "Good"), "Norm")</f>
        <v>Good</v>
      </c>
      <c r="AH337">
        <v>34.75</v>
      </c>
      <c r="AI337" t="str">
        <f>_xlfn.IFNA(_xlfn.IFS(AH337&gt;Dash!$I$46, "Big", AH337&lt;Dash!$I$49, "Small", AH337&gt;Dash!$I$47, "Good"), "Norm")</f>
        <v>Norm</v>
      </c>
    </row>
  </sheetData>
  <sortState xmlns:xlrd2="http://schemas.microsoft.com/office/spreadsheetml/2017/richdata2" ref="A4:AI337">
    <sortCondition ref="A4:A337"/>
  </sortState>
  <conditionalFormatting sqref="C1:C1048576">
    <cfRule type="containsText" dxfId="48" priority="42" operator="containsText" text="Lon Wall">
      <formula>NOT(ISERROR(SEARCH("Lon Wall",C1)))</formula>
    </cfRule>
    <cfRule type="containsText" dxfId="47" priority="41" operator="containsText" text="Screamer">
      <formula>NOT(ISERROR(SEARCH("Screamer",C1)))</formula>
    </cfRule>
    <cfRule type="containsText" dxfId="46" priority="40" operator="containsText" text="Lon Pivot">
      <formula>NOT(ISERROR(SEARCH("Lon Pivot",C1)))</formula>
    </cfRule>
    <cfRule type="containsText" dxfId="45" priority="39" operator="containsText" text="NY Z Day">
      <formula>NOT(ISERROR(SEARCH("NY Z Day",C1)))</formula>
    </cfRule>
    <cfRule type="containsText" dxfId="44" priority="43" operator="containsText" text="Asia Wall">
      <formula>NOT(ISERROR(SEARCH("Asia Wall",C1)))</formula>
    </cfRule>
  </conditionalFormatting>
  <conditionalFormatting sqref="F4:F1048576">
    <cfRule type="cellIs" dxfId="43" priority="16" operator="between">
      <formula>1100</formula>
      <formula>1500</formula>
    </cfRule>
    <cfRule type="cellIs" dxfId="42" priority="17" operator="between">
      <formula>800</formula>
      <formula>1000</formula>
    </cfRule>
    <cfRule type="cellIs" dxfId="41" priority="18" operator="between">
      <formula>199</formula>
      <formula>799</formula>
    </cfRule>
    <cfRule type="cellIs" dxfId="40" priority="19" operator="equal">
      <formula>100</formula>
    </cfRule>
    <cfRule type="cellIs" dxfId="39" priority="20" operator="greaterThanOrEqual">
      <formula>1800</formula>
    </cfRule>
  </conditionalFormatting>
  <conditionalFormatting sqref="M1:O1048576 B4:B1005">
    <cfRule type="containsText" dxfId="38" priority="36" operator="containsText" text="Wednesday">
      <formula>NOT(ISERROR(SEARCH("Wednesday",B1)))</formula>
    </cfRule>
    <cfRule type="containsText" dxfId="37" priority="35" operator="containsText" text="Thursday">
      <formula>NOT(ISERROR(SEARCH("Thursday",B1)))</formula>
    </cfRule>
    <cfRule type="containsText" dxfId="36" priority="34" operator="containsText" text="Friday">
      <formula>NOT(ISERROR(SEARCH("Friday",B1)))</formula>
    </cfRule>
    <cfRule type="containsText" dxfId="35" priority="37" operator="containsText" text="Tuesday">
      <formula>NOT(ISERROR(SEARCH("Tuesday",B1)))</formula>
    </cfRule>
    <cfRule type="containsText" dxfId="34" priority="38" operator="containsText" text="Monday">
      <formula>NOT(ISERROR(SEARCH("Monday",B1)))</formula>
    </cfRule>
  </conditionalFormatting>
  <conditionalFormatting sqref="P1:Q2 J1:L1048576">
    <cfRule type="containsText" dxfId="33" priority="49" operator="containsText" text="Lon">
      <formula>NOT(ISERROR(SEARCH("Lon",J1)))</formula>
    </cfRule>
    <cfRule type="containsText" dxfId="32" priority="48" operator="containsText" text="Asia">
      <formula>NOT(ISERROR(SEARCH("Asia",J1)))</formula>
    </cfRule>
    <cfRule type="containsText" dxfId="31" priority="47" operator="containsText" text="Inside">
      <formula>NOT(ISERROR(SEARCH("Inside",J1)))</formula>
    </cfRule>
    <cfRule type="containsText" dxfId="30" priority="46" operator="containsText" text="NYO">
      <formula>NOT(ISERROR(SEARCH("NYO",J1)))</formula>
    </cfRule>
    <cfRule type="containsText" dxfId="29" priority="45" operator="containsText" text="NYA">
      <formula>NOT(ISERROR(SEARCH("NYA",J1)))</formula>
    </cfRule>
    <cfRule type="containsText" dxfId="28" priority="44" operator="containsText" text="NYAH">
      <formula>NOT(ISERROR(SEARCH("NYAH",J1)))</formula>
    </cfRule>
  </conditionalFormatting>
  <conditionalFormatting sqref="R1:R2">
    <cfRule type="containsText" dxfId="27" priority="30" operator="containsText" text="Thursday">
      <formula>NOT(ISERROR(SEARCH("Thursday",R1)))</formula>
    </cfRule>
    <cfRule type="containsText" dxfId="26" priority="32" operator="containsText" text="Tuesday">
      <formula>NOT(ISERROR(SEARCH("Tuesday",R1)))</formula>
    </cfRule>
    <cfRule type="containsText" dxfId="25" priority="33" operator="containsText" text="Monday">
      <formula>NOT(ISERROR(SEARCH("Monday",R1)))</formula>
    </cfRule>
    <cfRule type="containsText" dxfId="24" priority="31" operator="containsText" text="Wednesday">
      <formula>NOT(ISERROR(SEARCH("Wednesday",R1)))</formula>
    </cfRule>
    <cfRule type="containsText" dxfId="23" priority="29" operator="containsText" text="Friday">
      <formula>NOT(ISERROR(SEARCH("Friday",R1)))</formula>
    </cfRule>
  </conditionalFormatting>
  <conditionalFormatting sqref="R4:R1233">
    <cfRule type="containsText" dxfId="22" priority="27" operator="containsText" text="Lon Wall">
      <formula>NOT(ISERROR(SEARCH("Lon Wall",R4)))</formula>
    </cfRule>
    <cfRule type="containsText" dxfId="21" priority="25" operator="containsText" text="Lon Pivot">
      <formula>NOT(ISERROR(SEARCH("Lon Pivot",R4)))</formula>
    </cfRule>
    <cfRule type="containsText" dxfId="20" priority="28" operator="containsText" text="Asia Wall">
      <formula>NOT(ISERROR(SEARCH("Asia Wall",R4)))</formula>
    </cfRule>
    <cfRule type="containsText" dxfId="19" priority="26" operator="containsText" text="Screamer">
      <formula>NOT(ISERROR(SEARCH("Screamer",R4)))</formula>
    </cfRule>
    <cfRule type="containsText" dxfId="18" priority="24" operator="containsText" text="NY Z Day">
      <formula>NOT(ISERROR(SEARCH("NY Z Day",R4)))</formula>
    </cfRule>
  </conditionalFormatting>
  <conditionalFormatting sqref="U4:U337">
    <cfRule type="cellIs" dxfId="17" priority="21" operator="equal">
      <formula>"Good"</formula>
    </cfRule>
  </conditionalFormatting>
  <conditionalFormatting sqref="U4:U1048576">
    <cfRule type="cellIs" dxfId="16" priority="23" operator="equal">
      <formula>"Small"</formula>
    </cfRule>
    <cfRule type="cellIs" dxfId="15" priority="22" operator="equal">
      <formula>"Big"</formula>
    </cfRule>
  </conditionalFormatting>
  <conditionalFormatting sqref="AA4:AA1055">
    <cfRule type="cellIs" dxfId="14" priority="13" operator="equal">
      <formula>"Good"</formula>
    </cfRule>
    <cfRule type="cellIs" dxfId="13" priority="15" operator="equal">
      <formula>"Small"</formula>
    </cfRule>
    <cfRule type="cellIs" dxfId="12" priority="14" operator="equal">
      <formula>"Big"</formula>
    </cfRule>
  </conditionalFormatting>
  <conditionalFormatting sqref="AC4:AC1055">
    <cfRule type="cellIs" dxfId="11" priority="12" operator="equal">
      <formula>"Small"</formula>
    </cfRule>
    <cfRule type="cellIs" dxfId="10" priority="11" operator="equal">
      <formula>"Big"</formula>
    </cfRule>
    <cfRule type="cellIs" dxfId="9" priority="10" operator="equal">
      <formula>"Good"</formula>
    </cfRule>
  </conditionalFormatting>
  <conditionalFormatting sqref="AE4:AE1055">
    <cfRule type="cellIs" dxfId="8" priority="7" operator="equal">
      <formula>"Good"</formula>
    </cfRule>
    <cfRule type="cellIs" dxfId="7" priority="9" operator="equal">
      <formula>"Small"</formula>
    </cfRule>
    <cfRule type="cellIs" dxfId="6" priority="8" operator="equal">
      <formula>"Big"</formula>
    </cfRule>
  </conditionalFormatting>
  <conditionalFormatting sqref="AG4:AG1050">
    <cfRule type="cellIs" dxfId="5" priority="6" operator="equal">
      <formula>"Small"</formula>
    </cfRule>
    <cfRule type="cellIs" dxfId="4" priority="5" operator="equal">
      <formula>"Big"</formula>
    </cfRule>
    <cfRule type="cellIs" dxfId="3" priority="4" operator="equal">
      <formula>"Good"</formula>
    </cfRule>
  </conditionalFormatting>
  <conditionalFormatting sqref="AI4:AI1055">
    <cfRule type="cellIs" dxfId="2" priority="2" operator="equal">
      <formula>"Big"</formula>
    </cfRule>
    <cfRule type="cellIs" dxfId="1" priority="3" operator="equal">
      <formula>"Small"</formula>
    </cfRule>
    <cfRule type="cellIs" dxfId="0" priority="1" operator="equal">
      <formula>"Good"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2E77-C322-43A9-B31E-894C0836E76A}">
  <dimension ref="A1:AX3"/>
  <sheetViews>
    <sheetView view="pageLayout" zoomScaleNormal="100" workbookViewId="0">
      <selection activeCell="G1" sqref="G1:I1"/>
    </sheetView>
  </sheetViews>
  <sheetFormatPr defaultColWidth="2.5703125" defaultRowHeight="11.25" x14ac:dyDescent="0.2"/>
  <cols>
    <col min="1" max="16384" width="2.5703125" style="60"/>
  </cols>
  <sheetData>
    <row r="1" spans="1:50" ht="13.5" x14ac:dyDescent="0.2">
      <c r="A1" s="61" t="str">
        <f>'2024 NQ H1 Profiles MASTER'!$B8</f>
        <v>Monday</v>
      </c>
      <c r="B1" s="62">
        <f>'2024 NQ H1 Profiles MASTER'!$A8</f>
        <v>45180</v>
      </c>
      <c r="C1" s="63"/>
      <c r="D1" s="63"/>
      <c r="E1" s="61" t="str">
        <f>'2024 NQ H1 Profiles MASTER'!$U8</f>
        <v>Norm</v>
      </c>
      <c r="F1" s="65"/>
      <c r="G1" s="59"/>
      <c r="H1" s="59"/>
      <c r="I1" s="59"/>
      <c r="L1" s="59"/>
      <c r="M1" s="59"/>
      <c r="N1" s="59"/>
      <c r="Q1" s="59"/>
      <c r="R1" s="59"/>
      <c r="S1" s="59"/>
      <c r="V1" s="59"/>
      <c r="W1" s="59"/>
      <c r="X1" s="59"/>
      <c r="AA1" s="59"/>
      <c r="AB1" s="59"/>
      <c r="AC1" s="59"/>
      <c r="AF1" s="59"/>
      <c r="AG1" s="59"/>
      <c r="AH1" s="59"/>
      <c r="AK1" s="59"/>
      <c r="AL1" s="59"/>
      <c r="AM1" s="59"/>
      <c r="AP1" s="59"/>
      <c r="AQ1" s="59"/>
      <c r="AR1" s="59"/>
      <c r="AU1" s="59"/>
      <c r="AV1" s="59"/>
      <c r="AW1" s="59"/>
    </row>
    <row r="2" spans="1:50" x14ac:dyDescent="0.2">
      <c r="A2" s="63">
        <f>'2024 NQ H1 Profiles MASTER'!E8</f>
        <v>158.5</v>
      </c>
      <c r="B2" s="63"/>
      <c r="C2" s="63"/>
      <c r="D2" s="63">
        <f>'2024 NQ H1 Profiles MASTER'!T8</f>
        <v>172.5</v>
      </c>
      <c r="E2" s="63"/>
      <c r="F2" s="64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1:50" x14ac:dyDescent="0.2">
      <c r="A3" s="61" t="str">
        <f>'2024 NQ H1 Profiles MASTER'!$Z8</f>
        <v>Norm</v>
      </c>
      <c r="B3" s="61" t="str">
        <f>'2024 NQ H1 Profiles MASTER'!$AB9</f>
        <v>Norm</v>
      </c>
      <c r="C3" s="61" t="str">
        <f>'2024 NQ H1 Profiles MASTER'!$AD8</f>
        <v>Small</v>
      </c>
      <c r="D3" s="61" t="str">
        <f>'2024 NQ H1 Profiles MASTER'!$AF8</f>
        <v>Norm</v>
      </c>
      <c r="E3" s="61" t="str">
        <f>'2024 NQ H1 Profiles MASTER'!$AH8</f>
        <v>Small</v>
      </c>
    </row>
  </sheetData>
  <mergeCells count="30">
    <mergeCell ref="AP1:AR1"/>
    <mergeCell ref="AU1:AW1"/>
    <mergeCell ref="L1:N1"/>
    <mergeCell ref="Q1:S1"/>
    <mergeCell ref="V1:X1"/>
    <mergeCell ref="AA1:AC1"/>
    <mergeCell ref="AF1:AH1"/>
    <mergeCell ref="AK1:AM1"/>
    <mergeCell ref="AJ2:AL2"/>
    <mergeCell ref="AM2:AN2"/>
    <mergeCell ref="AO2:AQ2"/>
    <mergeCell ref="AR2:AS2"/>
    <mergeCell ref="AT2:AV2"/>
    <mergeCell ref="AW2:AX2"/>
    <mergeCell ref="U2:W2"/>
    <mergeCell ref="X2:Y2"/>
    <mergeCell ref="Z2:AB2"/>
    <mergeCell ref="AC2:AD2"/>
    <mergeCell ref="AE2:AG2"/>
    <mergeCell ref="AH2:AI2"/>
    <mergeCell ref="A2:C2"/>
    <mergeCell ref="D2:E2"/>
    <mergeCell ref="F2:H2"/>
    <mergeCell ref="I2:J2"/>
    <mergeCell ref="K2:M2"/>
    <mergeCell ref="N2:O2"/>
    <mergeCell ref="P2:R2"/>
    <mergeCell ref="S2:T2"/>
    <mergeCell ref="B1:D1"/>
    <mergeCell ref="G1:I1"/>
  </mergeCells>
  <phoneticPr fontId="18" type="noConversion"/>
  <pageMargins left="0.19791666666666666" right="0.16666666666666666" top="0.26041666666666669" bottom="0.1562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74E6-9761-4B54-9729-375113A0532D}">
  <dimension ref="A1:CI101"/>
  <sheetViews>
    <sheetView topLeftCell="A45" workbookViewId="0">
      <selection activeCell="S72" sqref="S72:V72"/>
    </sheetView>
  </sheetViews>
  <sheetFormatPr defaultRowHeight="15" x14ac:dyDescent="0.25"/>
  <cols>
    <col min="1" max="1" width="11.85546875" customWidth="1"/>
    <col min="6" max="6" width="11.5703125" bestFit="1" customWidth="1"/>
    <col min="18" max="18" width="9.5703125" bestFit="1" customWidth="1"/>
    <col min="19" max="19" width="9.5703125" customWidth="1"/>
    <col min="20" max="20" width="9.5703125" bestFit="1" customWidth="1"/>
    <col min="21" max="21" width="9.5703125" customWidth="1"/>
    <col min="22" max="23" width="9.5703125" bestFit="1" customWidth="1"/>
  </cols>
  <sheetData>
    <row r="1" spans="1:21" x14ac:dyDescent="0.25">
      <c r="A1" s="7"/>
      <c r="B1" s="7" t="s">
        <v>13</v>
      </c>
      <c r="C1" s="7" t="s">
        <v>20</v>
      </c>
      <c r="D1" s="7" t="s">
        <v>33</v>
      </c>
      <c r="E1" s="7" t="s">
        <v>99</v>
      </c>
      <c r="F1" s="7" t="s">
        <v>84</v>
      </c>
      <c r="H1" t="s">
        <v>55</v>
      </c>
      <c r="I1" s="7" t="s">
        <v>13</v>
      </c>
      <c r="J1" s="7" t="s">
        <v>20</v>
      </c>
      <c r="K1" s="7" t="s">
        <v>33</v>
      </c>
      <c r="L1" s="7" t="s">
        <v>24</v>
      </c>
      <c r="N1" t="s">
        <v>56</v>
      </c>
      <c r="O1" s="7" t="s">
        <v>13</v>
      </c>
      <c r="P1" s="7" t="s">
        <v>20</v>
      </c>
      <c r="Q1" s="7" t="s">
        <v>33</v>
      </c>
      <c r="R1" s="7" t="s">
        <v>24</v>
      </c>
    </row>
    <row r="2" spans="1:21" x14ac:dyDescent="0.25">
      <c r="A2" s="7" t="s">
        <v>23</v>
      </c>
      <c r="B2" s="7">
        <f>COUNTIF(Scr!B3:B1048576, "*Monday*")</f>
        <v>16</v>
      </c>
      <c r="C2" s="7">
        <f>COUNTIF(LP!B3:B1048576, "*Monday*")</f>
        <v>7</v>
      </c>
      <c r="D2" s="7">
        <f>COUNTIF(ZD!B3:B1048576, "*Monday*")</f>
        <v>22</v>
      </c>
      <c r="E2" s="7">
        <f>COUNTIF(Wall!B3:B1048576, "*Monday*")</f>
        <v>16</v>
      </c>
      <c r="F2" s="7">
        <f>SUM(B2:E2)</f>
        <v>61</v>
      </c>
      <c r="H2" s="7" t="s">
        <v>23</v>
      </c>
      <c r="I2" s="25">
        <f>B2/$F$2</f>
        <v>0.26229508196721313</v>
      </c>
      <c r="J2" s="25">
        <f>C2/$F$2</f>
        <v>0.11475409836065574</v>
      </c>
      <c r="K2" s="25">
        <f>D2/$F$2</f>
        <v>0.36065573770491804</v>
      </c>
      <c r="L2" s="25">
        <f>E2/$F$2</f>
        <v>0.26229508196721313</v>
      </c>
      <c r="N2" s="7" t="s">
        <v>23</v>
      </c>
      <c r="O2" s="25">
        <f>B2/$B$7</f>
        <v>0.21917808219178081</v>
      </c>
      <c r="P2" s="25">
        <f>C2/$C$7</f>
        <v>0.13207547169811321</v>
      </c>
      <c r="Q2" s="25">
        <f>D2/$D$7</f>
        <v>0.15172413793103448</v>
      </c>
      <c r="R2" s="25">
        <f>E2/$E$7</f>
        <v>0.27586206896551724</v>
      </c>
    </row>
    <row r="3" spans="1:21" x14ac:dyDescent="0.25">
      <c r="A3" s="7" t="s">
        <v>19</v>
      </c>
      <c r="B3" s="7">
        <f>COUNTIF(Scr!B3:B1048576, "*Tuesday*")</f>
        <v>15</v>
      </c>
      <c r="C3" s="7">
        <f>COUNTIF(LP!B3:B1048576, "*Tuesday*")</f>
        <v>17</v>
      </c>
      <c r="D3" s="7">
        <f>COUNTIF(ZD!B3:B1048576, "*Tuesday*")</f>
        <v>28</v>
      </c>
      <c r="E3" s="7">
        <f>COUNTIF(Wall!B3:B1048576, "*Tuesday*")</f>
        <v>8</v>
      </c>
      <c r="F3" s="7">
        <f>SUM(B3:E3)</f>
        <v>68</v>
      </c>
      <c r="H3" s="7" t="s">
        <v>19</v>
      </c>
      <c r="I3" s="25">
        <f>B3/$F$3</f>
        <v>0.22058823529411764</v>
      </c>
      <c r="J3" s="25">
        <f>C3/$F$3</f>
        <v>0.25</v>
      </c>
      <c r="K3" s="25">
        <f>D3/$F$3</f>
        <v>0.41176470588235292</v>
      </c>
      <c r="L3" s="25">
        <f>E3/$F$3</f>
        <v>0.11764705882352941</v>
      </c>
      <c r="N3" s="7" t="s">
        <v>19</v>
      </c>
      <c r="O3" s="25">
        <f>B3/$B$7</f>
        <v>0.20547945205479451</v>
      </c>
      <c r="P3" s="25">
        <f>C3/$C$7</f>
        <v>0.32075471698113206</v>
      </c>
      <c r="Q3" s="25">
        <f>D3/$D$7</f>
        <v>0.19310344827586207</v>
      </c>
      <c r="R3" s="25">
        <f>E3/$E$7</f>
        <v>0.13793103448275862</v>
      </c>
    </row>
    <row r="4" spans="1:21" x14ac:dyDescent="0.25">
      <c r="A4" s="7" t="s">
        <v>18</v>
      </c>
      <c r="B4" s="7">
        <f>COUNTIF(Scr!B3:B1048576, "*Wednesday*")</f>
        <v>20</v>
      </c>
      <c r="C4" s="7">
        <f>COUNTIF(LP!B3:B1048576, "*Wednesday*")</f>
        <v>8</v>
      </c>
      <c r="D4" s="7">
        <f>COUNTIF(ZD!B3:B1048576, "*Wednesday*")</f>
        <v>29</v>
      </c>
      <c r="E4" s="7">
        <f>COUNTIF(Wall!B3:B1048576, "*Wednesday*")</f>
        <v>9</v>
      </c>
      <c r="F4" s="7">
        <f>SUM(B4:E4)</f>
        <v>66</v>
      </c>
      <c r="H4" s="7" t="s">
        <v>18</v>
      </c>
      <c r="I4" s="25">
        <f>B4/$F$4</f>
        <v>0.30303030303030304</v>
      </c>
      <c r="J4" s="25">
        <f>C4/$F$4</f>
        <v>0.12121212121212122</v>
      </c>
      <c r="K4" s="25">
        <f>D4/$F$4</f>
        <v>0.43939393939393939</v>
      </c>
      <c r="L4" s="25">
        <f>E4/$F$4</f>
        <v>0.13636363636363635</v>
      </c>
      <c r="N4" s="7" t="s">
        <v>18</v>
      </c>
      <c r="O4" s="25">
        <f>B4/$B$7</f>
        <v>0.27397260273972601</v>
      </c>
      <c r="P4" s="25">
        <f>C4/$C$7</f>
        <v>0.15094339622641509</v>
      </c>
      <c r="Q4" s="25">
        <f>D4/$D$7</f>
        <v>0.2</v>
      </c>
      <c r="R4" s="25">
        <f>E4/$E$7</f>
        <v>0.15517241379310345</v>
      </c>
    </row>
    <row r="5" spans="1:21" x14ac:dyDescent="0.25">
      <c r="A5" s="7" t="s">
        <v>36</v>
      </c>
      <c r="B5" s="7">
        <f>COUNTIF(Scr!B3:B1048576, "*Thursday*")</f>
        <v>12</v>
      </c>
      <c r="C5" s="7">
        <f>COUNTIF(LP!B3:B1048576, "*Thursday*")</f>
        <v>11</v>
      </c>
      <c r="D5" s="7">
        <f>COUNTIF(ZD!B3:B1048576, "*Thursday*")</f>
        <v>35</v>
      </c>
      <c r="E5" s="7">
        <f>COUNTIF(Wall!B3:B1048576, "*Thursday*")</f>
        <v>8</v>
      </c>
      <c r="F5" s="7">
        <f>SUM(B5:E5)</f>
        <v>66</v>
      </c>
      <c r="H5" s="7" t="s">
        <v>36</v>
      </c>
      <c r="I5" s="25">
        <f>B5/$F$5</f>
        <v>0.18181818181818182</v>
      </c>
      <c r="J5" s="25">
        <f>C5/$F$5</f>
        <v>0.16666666666666666</v>
      </c>
      <c r="K5" s="25">
        <f>D5/$F$5</f>
        <v>0.53030303030303028</v>
      </c>
      <c r="L5" s="25">
        <f>E5/$F$5</f>
        <v>0.12121212121212122</v>
      </c>
      <c r="N5" s="7" t="s">
        <v>36</v>
      </c>
      <c r="O5" s="25">
        <f>B5/$B$7</f>
        <v>0.16438356164383561</v>
      </c>
      <c r="P5" s="25">
        <f>C5/$C$7</f>
        <v>0.20754716981132076</v>
      </c>
      <c r="Q5" s="25">
        <f>D5/$D$7</f>
        <v>0.2413793103448276</v>
      </c>
      <c r="R5" s="25">
        <f>E5/$E$7</f>
        <v>0.13793103448275862</v>
      </c>
    </row>
    <row r="6" spans="1:21" x14ac:dyDescent="0.25">
      <c r="A6" s="7" t="s">
        <v>26</v>
      </c>
      <c r="B6" s="7">
        <f>COUNTIF(Scr!B3:B1048576, "*Friday*")</f>
        <v>10</v>
      </c>
      <c r="C6" s="7">
        <f>COUNTIF(LP!B3:B1048576, "*Friday*")</f>
        <v>10</v>
      </c>
      <c r="D6" s="7">
        <f>COUNTIF(ZD!B3:B1048576, "*Friday*")</f>
        <v>31</v>
      </c>
      <c r="E6" s="7">
        <f>COUNTIF(Wall!B3:B1048576, "*Friday*")</f>
        <v>17</v>
      </c>
      <c r="F6" s="7">
        <f>SUM(B6:E6)</f>
        <v>68</v>
      </c>
      <c r="H6" s="7" t="s">
        <v>26</v>
      </c>
      <c r="I6" s="25">
        <f>B6/$F$6</f>
        <v>0.14705882352941177</v>
      </c>
      <c r="J6" s="25">
        <f>C6/$F$6</f>
        <v>0.14705882352941177</v>
      </c>
      <c r="K6" s="25">
        <f>D6/$F$6</f>
        <v>0.45588235294117646</v>
      </c>
      <c r="L6" s="25">
        <f>E6/$F$6</f>
        <v>0.25</v>
      </c>
      <c r="N6" s="7" t="s">
        <v>26</v>
      </c>
      <c r="O6" s="25">
        <f>B6/$B$7</f>
        <v>0.13698630136986301</v>
      </c>
      <c r="P6" s="25">
        <f>C6/$C$7</f>
        <v>0.18867924528301888</v>
      </c>
      <c r="Q6" s="25">
        <f>D6/$D$7</f>
        <v>0.21379310344827587</v>
      </c>
      <c r="R6" s="25">
        <f>E6/$E$7</f>
        <v>0.29310344827586204</v>
      </c>
    </row>
    <row r="7" spans="1:21" x14ac:dyDescent="0.25">
      <c r="A7" s="7" t="s">
        <v>85</v>
      </c>
      <c r="B7" s="7">
        <f t="shared" ref="B7:F7" si="0">SUM(B2:B6)</f>
        <v>73</v>
      </c>
      <c r="C7" s="7">
        <f t="shared" si="0"/>
        <v>53</v>
      </c>
      <c r="D7" s="7">
        <f t="shared" si="0"/>
        <v>145</v>
      </c>
      <c r="E7" s="7">
        <f t="shared" si="0"/>
        <v>58</v>
      </c>
      <c r="F7" s="7">
        <f t="shared" si="0"/>
        <v>329</v>
      </c>
      <c r="I7" s="6">
        <f>K5</f>
        <v>0.53030303030303028</v>
      </c>
      <c r="J7" s="4" t="s">
        <v>86</v>
      </c>
      <c r="K7" s="4"/>
      <c r="L7" s="4"/>
      <c r="N7" s="6">
        <f>O4</f>
        <v>0.27397260273972601</v>
      </c>
      <c r="O7" s="4" t="s">
        <v>88</v>
      </c>
      <c r="P7" s="4"/>
      <c r="Q7" s="4"/>
      <c r="R7" s="4"/>
    </row>
    <row r="8" spans="1:21" x14ac:dyDescent="0.25">
      <c r="I8" s="4"/>
      <c r="J8" s="4" t="s">
        <v>87</v>
      </c>
      <c r="K8" s="4"/>
      <c r="L8" s="4"/>
      <c r="N8" s="6"/>
      <c r="O8" s="4" t="s">
        <v>89</v>
      </c>
      <c r="P8" s="4"/>
      <c r="Q8" s="4"/>
      <c r="R8" s="4"/>
    </row>
    <row r="9" spans="1:21" x14ac:dyDescent="0.25">
      <c r="N9" s="4"/>
      <c r="O9" s="4" t="s">
        <v>90</v>
      </c>
      <c r="P9" s="4"/>
      <c r="Q9" s="4"/>
      <c r="R9" s="4"/>
    </row>
    <row r="10" spans="1:21" s="3" customFormat="1" ht="7.5" customHeight="1" thickBot="1" x14ac:dyDescent="0.3">
      <c r="Q10" s="32"/>
    </row>
    <row r="11" spans="1:21" ht="15.75" thickBot="1" x14ac:dyDescent="0.3">
      <c r="A11" s="10" t="s">
        <v>82</v>
      </c>
      <c r="B11" s="12">
        <f>COUNTIF('2024 NQ H1 Profiles MASTER'!A4:A1048576, "&lt;&gt;")</f>
        <v>334</v>
      </c>
      <c r="D11" s="7" t="s">
        <v>100</v>
      </c>
      <c r="E11" s="7">
        <f>COUNTIF('2024 NQ H1 Profiles MASTER'!J4:J1048576, "*NYA*")</f>
        <v>20</v>
      </c>
    </row>
    <row r="12" spans="1:21" x14ac:dyDescent="0.25">
      <c r="A12" s="8" t="s">
        <v>79</v>
      </c>
      <c r="B12" s="8">
        <f>COUNTIF('2024 NQ H1 Profiles MASTER'!J4:J1048576, "*Asia*")</f>
        <v>118</v>
      </c>
      <c r="D12" s="7" t="s">
        <v>34</v>
      </c>
      <c r="E12" s="7">
        <f>COUNTIF('2024 NQ H1 Profiles MASTER'!J4:J1048576, "*Inside*")</f>
        <v>44</v>
      </c>
      <c r="K12" s="55" t="s">
        <v>148</v>
      </c>
      <c r="L12" s="55"/>
      <c r="M12" s="55"/>
      <c r="N12" s="55"/>
      <c r="O12" s="55"/>
      <c r="P12" s="55"/>
    </row>
    <row r="13" spans="1:21" x14ac:dyDescent="0.25">
      <c r="A13" s="7" t="s">
        <v>80</v>
      </c>
      <c r="B13" s="7">
        <f>COUNTIF('2024 NQ H1 Profiles MASTER'!J4:J1048576, "*Lon*")</f>
        <v>56</v>
      </c>
      <c r="K13" s="55"/>
      <c r="L13" s="55"/>
      <c r="M13" s="55"/>
      <c r="N13" s="55"/>
      <c r="O13" s="55"/>
      <c r="P13" s="55"/>
      <c r="R13" s="4" t="s">
        <v>91</v>
      </c>
      <c r="S13" s="4" t="s">
        <v>98</v>
      </c>
      <c r="T13" s="4"/>
      <c r="U13" s="4"/>
    </row>
    <row r="14" spans="1:21" ht="15.75" thickBot="1" x14ac:dyDescent="0.3">
      <c r="A14" s="9" t="s">
        <v>81</v>
      </c>
      <c r="B14" s="9">
        <f>COUNTIF('2024 NQ H1 Profiles MASTER'!J4:J1048576, "*NYO*")</f>
        <v>96</v>
      </c>
      <c r="R14" s="4"/>
      <c r="S14" s="4"/>
      <c r="T14" s="4"/>
      <c r="U14" s="4"/>
    </row>
    <row r="15" spans="1:21" ht="15.75" thickBot="1" x14ac:dyDescent="0.3">
      <c r="A15" s="10" t="s">
        <v>102</v>
      </c>
      <c r="B15" s="12">
        <f>SUM(B12:B14)</f>
        <v>270</v>
      </c>
      <c r="C15" s="5">
        <f>B15/B11</f>
        <v>0.80838323353293418</v>
      </c>
      <c r="D15" s="4" t="s">
        <v>103</v>
      </c>
      <c r="E15" s="4"/>
      <c r="F15" s="4"/>
      <c r="G15" s="4"/>
      <c r="H15" s="4"/>
      <c r="R15" s="4" t="s">
        <v>92</v>
      </c>
      <c r="S15" s="4" t="s">
        <v>96</v>
      </c>
      <c r="T15" s="4"/>
      <c r="U15" s="4"/>
    </row>
    <row r="16" spans="1:21" x14ac:dyDescent="0.25">
      <c r="R16" s="4"/>
      <c r="S16" s="4"/>
      <c r="T16" s="4"/>
      <c r="U16" s="4"/>
    </row>
    <row r="17" spans="1:23" ht="15.75" thickBot="1" x14ac:dyDescent="0.3">
      <c r="C17" s="2"/>
      <c r="R17" s="4" t="s">
        <v>93</v>
      </c>
      <c r="S17" s="4" t="s">
        <v>83</v>
      </c>
      <c r="T17" s="4"/>
      <c r="U17" s="4"/>
    </row>
    <row r="18" spans="1:23" ht="15.75" thickBot="1" x14ac:dyDescent="0.3">
      <c r="B18" s="10" t="s">
        <v>79</v>
      </c>
      <c r="C18" s="11" t="s">
        <v>80</v>
      </c>
      <c r="D18" s="11" t="s">
        <v>81</v>
      </c>
      <c r="E18" s="11" t="s">
        <v>100</v>
      </c>
      <c r="F18" s="12" t="s">
        <v>34</v>
      </c>
      <c r="G18" s="42" t="s">
        <v>82</v>
      </c>
      <c r="H18" s="10" t="s">
        <v>79</v>
      </c>
      <c r="I18" s="11" t="s">
        <v>80</v>
      </c>
      <c r="J18" s="11" t="s">
        <v>81</v>
      </c>
      <c r="K18" s="11" t="s">
        <v>100</v>
      </c>
      <c r="L18" s="12" t="s">
        <v>34</v>
      </c>
      <c r="T18" s="4"/>
      <c r="U18" s="4"/>
      <c r="V18" s="4"/>
      <c r="W18" s="4"/>
    </row>
    <row r="19" spans="1:23" x14ac:dyDescent="0.25">
      <c r="A19" s="15" t="s">
        <v>13</v>
      </c>
      <c r="B19" s="21">
        <f>COUNTIF(Scr!J3:J1048576, "*Asia*")</f>
        <v>32</v>
      </c>
      <c r="C19" s="8">
        <f>COUNTIF(Scr!J3:J1048576, "*Lon*")</f>
        <v>15</v>
      </c>
      <c r="D19" s="8">
        <f>COUNTIF(Scr!J3:J1048576, "*NYO*")</f>
        <v>19</v>
      </c>
      <c r="E19" s="8">
        <f>COUNTIF(Scr!J3:J1048576, "*NYA*")</f>
        <v>1</v>
      </c>
      <c r="F19" s="8">
        <f>COUNTIF('1s'!C4:C46, "*Screamer*")</f>
        <v>6</v>
      </c>
      <c r="G19" s="39">
        <f>SUM(B19:E19)</f>
        <v>67</v>
      </c>
      <c r="H19" s="41">
        <f>B19/$B$23</f>
        <v>0.2831858407079646</v>
      </c>
      <c r="I19" s="33">
        <f>C19/$C$23</f>
        <v>0.26785714285714285</v>
      </c>
      <c r="J19" s="33">
        <f>D19/$D$23</f>
        <v>0.19791666666666666</v>
      </c>
      <c r="K19" s="33">
        <f>E19/$E$23</f>
        <v>0.05</v>
      </c>
      <c r="L19" s="33">
        <f>F19/$F$23</f>
        <v>0.13953488372093023</v>
      </c>
      <c r="T19" s="4" t="s">
        <v>94</v>
      </c>
      <c r="U19" s="4" t="s">
        <v>97</v>
      </c>
      <c r="V19" s="4"/>
      <c r="W19" s="4"/>
    </row>
    <row r="20" spans="1:23" x14ac:dyDescent="0.25">
      <c r="A20" s="16" t="s">
        <v>20</v>
      </c>
      <c r="B20" s="22">
        <f>COUNTIF(LP!J3:J1048576, "*Asia*")</f>
        <v>17</v>
      </c>
      <c r="C20" s="7">
        <f>COUNTIF(LP!J3:J1048576, "*Lon*")</f>
        <v>9</v>
      </c>
      <c r="D20" s="7">
        <f>COUNTIF(LP!J3:J1048576, "*NYO*")</f>
        <v>15</v>
      </c>
      <c r="E20" s="7">
        <f>COUNTIF(LP!J3:J1048576, "*NYA*")</f>
        <v>5</v>
      </c>
      <c r="F20" s="7">
        <f>COUNTIF('1s'!C4:C46, "*Pivot*")</f>
        <v>7</v>
      </c>
      <c r="G20" s="40">
        <f>SUM(B20:E20)</f>
        <v>46</v>
      </c>
      <c r="H20" s="30">
        <f>B20/$B$23</f>
        <v>0.15044247787610621</v>
      </c>
      <c r="I20" s="25">
        <f>C20/$C$23</f>
        <v>0.16071428571428573</v>
      </c>
      <c r="J20" s="25">
        <f>D20/$D$23</f>
        <v>0.15625</v>
      </c>
      <c r="K20" s="25">
        <f>E20/$E$23</f>
        <v>0.25</v>
      </c>
      <c r="L20" s="33">
        <f t="shared" ref="L20:L22" si="1">F20/$F$23</f>
        <v>0.16279069767441862</v>
      </c>
      <c r="M20" t="s">
        <v>105</v>
      </c>
      <c r="T20" s="4"/>
      <c r="U20" s="4"/>
      <c r="V20" s="4"/>
      <c r="W20" s="4"/>
    </row>
    <row r="21" spans="1:23" x14ac:dyDescent="0.25">
      <c r="A21" s="16" t="s">
        <v>33</v>
      </c>
      <c r="B21" s="22">
        <f>COUNTIF(ZD!J3:J1048576, "*Asia*")</f>
        <v>46</v>
      </c>
      <c r="C21" s="7">
        <f>COUNTIF(ZD!J3:J1048576, "*Lon*")</f>
        <v>20</v>
      </c>
      <c r="D21" s="7">
        <f>COUNTIF(ZD!J3:J1048576, "*NYO*")</f>
        <v>46</v>
      </c>
      <c r="E21" s="7">
        <f>COUNTIF(ZD!J3:J1048576, "*NYA*")</f>
        <v>14</v>
      </c>
      <c r="F21" s="7">
        <f>COUNTIF('1s'!C4:C46, "*Z*")</f>
        <v>18</v>
      </c>
      <c r="G21" s="40">
        <f>SUM(B21:E21)</f>
        <v>126</v>
      </c>
      <c r="H21" s="30">
        <f>B21/$B$23</f>
        <v>0.40707964601769914</v>
      </c>
      <c r="I21" s="25">
        <f>C21/$C$23</f>
        <v>0.35714285714285715</v>
      </c>
      <c r="J21" s="25">
        <f>D21/$D$23</f>
        <v>0.47916666666666669</v>
      </c>
      <c r="K21" s="25">
        <f>E21/$E$23</f>
        <v>0.7</v>
      </c>
      <c r="L21" s="33">
        <f t="shared" si="1"/>
        <v>0.41860465116279072</v>
      </c>
      <c r="M21" t="s">
        <v>147</v>
      </c>
      <c r="T21" s="4" t="s">
        <v>95</v>
      </c>
      <c r="U21" s="4" t="s">
        <v>98</v>
      </c>
      <c r="V21" s="4"/>
      <c r="W21" s="4"/>
    </row>
    <row r="22" spans="1:23" ht="15.75" thickBot="1" x14ac:dyDescent="0.3">
      <c r="A22" s="16" t="s">
        <v>24</v>
      </c>
      <c r="B22" s="23">
        <f>COUNTIF(Wall!J3:J1048576, "*Asia*")</f>
        <v>18</v>
      </c>
      <c r="C22" s="9">
        <f>COUNTIF(Wall!J3:J1048576, "*Lon*")</f>
        <v>12</v>
      </c>
      <c r="D22" s="9">
        <f>COUNTIF(Wall!J3:J1048576, "*NYO*")</f>
        <v>16</v>
      </c>
      <c r="E22" s="9">
        <f>COUNTIF(Wall!J3:J1048576, "*NYA*")</f>
        <v>0</v>
      </c>
      <c r="F22" s="9">
        <f>COUNTIF('1s'!C4:C46, "*Wal*")</f>
        <v>12</v>
      </c>
      <c r="G22" s="40">
        <f>SUM(B22:E22)</f>
        <v>46</v>
      </c>
      <c r="H22" s="30">
        <f>B22/$B$23</f>
        <v>0.15929203539823009</v>
      </c>
      <c r="I22" s="25">
        <f>C22/$C$23</f>
        <v>0.21428571428571427</v>
      </c>
      <c r="J22" s="25">
        <f>D22/$D$23</f>
        <v>0.16666666666666666</v>
      </c>
      <c r="K22" s="25">
        <f>E22/$E$23</f>
        <v>0</v>
      </c>
      <c r="L22" s="33">
        <f t="shared" si="1"/>
        <v>0.27906976744186046</v>
      </c>
      <c r="T22" s="4"/>
      <c r="U22" s="4"/>
      <c r="V22" s="4"/>
      <c r="W22" s="4"/>
    </row>
    <row r="23" spans="1:23" ht="15.75" thickBot="1" x14ac:dyDescent="0.3">
      <c r="A23" s="18" t="s">
        <v>101</v>
      </c>
      <c r="B23" s="10">
        <f>SUM(B19:B22)</f>
        <v>113</v>
      </c>
      <c r="C23" s="11">
        <f>SUM(C19:C22)</f>
        <v>56</v>
      </c>
      <c r="D23" s="11">
        <f>SUM(D19:D22)</f>
        <v>96</v>
      </c>
      <c r="E23" s="20">
        <f>SUM(E19:E22)</f>
        <v>20</v>
      </c>
      <c r="F23" s="12">
        <f>SUM(F19:F22)</f>
        <v>43</v>
      </c>
    </row>
    <row r="24" spans="1:23" x14ac:dyDescent="0.25">
      <c r="A24" s="31" t="s">
        <v>34</v>
      </c>
    </row>
    <row r="26" spans="1:23" s="3" customFormat="1" ht="6.75" customHeight="1" thickBot="1" x14ac:dyDescent="0.3"/>
    <row r="27" spans="1:23" ht="27" customHeight="1" thickBot="1" x14ac:dyDescent="0.45">
      <c r="A27" t="s">
        <v>106</v>
      </c>
      <c r="B27" s="10" t="s">
        <v>13</v>
      </c>
      <c r="C27" s="11" t="s">
        <v>20</v>
      </c>
      <c r="D27" s="11" t="s">
        <v>33</v>
      </c>
      <c r="E27" s="11" t="s">
        <v>99</v>
      </c>
      <c r="F27" s="11" t="s">
        <v>82</v>
      </c>
      <c r="G27" s="11" t="s">
        <v>13</v>
      </c>
      <c r="H27" s="11" t="s">
        <v>20</v>
      </c>
      <c r="I27" s="11" t="s">
        <v>33</v>
      </c>
      <c r="J27" s="12" t="s">
        <v>99</v>
      </c>
      <c r="K27" s="57" t="s">
        <v>111</v>
      </c>
      <c r="L27" s="58"/>
      <c r="M27" s="58"/>
      <c r="N27" s="58"/>
      <c r="O27" s="58"/>
      <c r="P27" s="58"/>
    </row>
    <row r="28" spans="1:23" ht="15" customHeight="1" x14ac:dyDescent="0.25">
      <c r="A28" s="15" t="s">
        <v>13</v>
      </c>
      <c r="B28" s="21">
        <f>COUNTIF(Scr!R3:R1048576, "*Screamer*")</f>
        <v>12</v>
      </c>
      <c r="C28" s="8">
        <f>COUNTIF(Scr!R3:R1048576, "*Lon Pivot*")</f>
        <v>12</v>
      </c>
      <c r="D28" s="8">
        <f>COUNTIF(Scr!R3:R1048576, "*NY Z Day*")</f>
        <v>29</v>
      </c>
      <c r="E28" s="8">
        <f>COUNTIF(Scr!R3:R1048576, "*Wall*")</f>
        <v>17</v>
      </c>
      <c r="F28" s="8">
        <f>SUM(B28:E28)</f>
        <v>70</v>
      </c>
      <c r="G28" s="33">
        <f>B28/$F$28</f>
        <v>0.17142857142857143</v>
      </c>
      <c r="H28" s="33">
        <f t="shared" ref="H28:J28" si="2">C28/$F$28</f>
        <v>0.17142857142857143</v>
      </c>
      <c r="I28" s="33">
        <f t="shared" si="2"/>
        <v>0.41428571428571431</v>
      </c>
      <c r="J28" s="33">
        <f t="shared" si="2"/>
        <v>0.24285714285714285</v>
      </c>
      <c r="K28" s="36">
        <f>G31</f>
        <v>0.39393939393939392</v>
      </c>
      <c r="L28" s="4" t="s">
        <v>112</v>
      </c>
      <c r="M28" s="4"/>
      <c r="N28" s="4"/>
      <c r="O28" s="4"/>
    </row>
    <row r="29" spans="1:23" ht="15" customHeight="1" x14ac:dyDescent="0.4">
      <c r="A29" s="16" t="s">
        <v>20</v>
      </c>
      <c r="B29" s="22">
        <f>COUNTIF(LP!R3:R1048576, "*Screamer*")</f>
        <v>11</v>
      </c>
      <c r="C29" s="7">
        <f>COUNTIF(LP!R3:R1048576, "*Lon Pivot*")</f>
        <v>5</v>
      </c>
      <c r="D29" s="7">
        <f>COUNTIF(LP!R3:R1048576, "*NY Z Day*")</f>
        <v>29</v>
      </c>
      <c r="E29" s="7">
        <f>COUNTIF(LP!R3:R1048576, "*Wall*")</f>
        <v>7</v>
      </c>
      <c r="F29" s="7">
        <f t="shared" ref="F29:F31" si="3">SUM(B29:E29)</f>
        <v>52</v>
      </c>
      <c r="G29" s="25">
        <f>B29/$F$29</f>
        <v>0.21153846153846154</v>
      </c>
      <c r="H29" s="25">
        <f t="shared" ref="H29:J29" si="4">C29/$F$29</f>
        <v>9.6153846153846159E-2</v>
      </c>
      <c r="I29" s="25">
        <f t="shared" si="4"/>
        <v>0.55769230769230771</v>
      </c>
      <c r="J29" s="25">
        <f t="shared" si="4"/>
        <v>0.13461538461538461</v>
      </c>
      <c r="K29" s="35"/>
      <c r="L29" s="34"/>
      <c r="M29" s="34"/>
      <c r="N29" s="34"/>
      <c r="O29" s="34"/>
      <c r="P29" s="34"/>
    </row>
    <row r="30" spans="1:23" x14ac:dyDescent="0.25">
      <c r="A30" s="16" t="s">
        <v>33</v>
      </c>
      <c r="B30" s="22">
        <f>COUNTIF(ZD!R3:R1048576, "*Screamer*")</f>
        <v>33</v>
      </c>
      <c r="C30" s="7">
        <f>COUNTIF(ZD!R3:R1048576, "*Lon Pivot*")</f>
        <v>27</v>
      </c>
      <c r="D30" s="7">
        <f>COUNTIF(ZD!R3:R1048576, "*Z Day*")</f>
        <v>62</v>
      </c>
      <c r="E30" s="7">
        <f>COUNTIF(ZD!R3:R1048576, "*Wall*")</f>
        <v>22</v>
      </c>
      <c r="F30" s="7">
        <f t="shared" si="3"/>
        <v>144</v>
      </c>
      <c r="G30" s="25">
        <f>B30/$F$30</f>
        <v>0.22916666666666666</v>
      </c>
      <c r="H30" s="25">
        <f t="shared" ref="H30:J30" si="5">C30/$F$30</f>
        <v>0.1875</v>
      </c>
      <c r="I30" s="25">
        <f t="shared" si="5"/>
        <v>0.43055555555555558</v>
      </c>
      <c r="J30" s="25">
        <f t="shared" si="5"/>
        <v>0.15277777777777779</v>
      </c>
    </row>
    <row r="31" spans="1:23" x14ac:dyDescent="0.25">
      <c r="A31" s="16" t="s">
        <v>99</v>
      </c>
      <c r="B31" s="22">
        <f>COUNTIF(Wall!R3:R37, "*screamer*")</f>
        <v>13</v>
      </c>
      <c r="C31" s="7">
        <f>COUNTIF(Wall!R3:R37, "*lon pivot*")</f>
        <v>5</v>
      </c>
      <c r="D31" s="7">
        <f>COUNTIF(Wall!R3:R37, "*Z day*")</f>
        <v>11</v>
      </c>
      <c r="E31" s="7">
        <f>COUNTIF(Wall!R3:R37, "*wall*")</f>
        <v>4</v>
      </c>
      <c r="F31" s="7">
        <f t="shared" si="3"/>
        <v>33</v>
      </c>
      <c r="G31" s="25">
        <f>B31/$F$31</f>
        <v>0.39393939393939392</v>
      </c>
      <c r="H31" s="25">
        <f t="shared" ref="H31:J31" si="6">C31/$F$31</f>
        <v>0.15151515151515152</v>
      </c>
      <c r="I31" s="25">
        <f t="shared" si="6"/>
        <v>0.33333333333333331</v>
      </c>
      <c r="J31" s="25">
        <f t="shared" si="6"/>
        <v>0.12121212121212122</v>
      </c>
    </row>
    <row r="33" spans="1:87" s="3" customFormat="1" ht="6.75" customHeight="1" x14ac:dyDescent="0.25"/>
    <row r="34" spans="1:87" ht="15" customHeight="1" x14ac:dyDescent="0.4">
      <c r="A34" s="56" t="s">
        <v>113</v>
      </c>
      <c r="B34" s="56"/>
      <c r="C34" s="56"/>
      <c r="D34" s="56"/>
      <c r="E34" s="4">
        <f>C39</f>
        <v>5</v>
      </c>
      <c r="F34" s="4" t="s">
        <v>137</v>
      </c>
      <c r="G34" s="4"/>
      <c r="H34" s="4"/>
      <c r="I34" s="4"/>
      <c r="J34" s="4"/>
      <c r="K34" s="34"/>
      <c r="L34" s="56" t="s">
        <v>117</v>
      </c>
      <c r="M34" s="56"/>
      <c r="N34" s="56"/>
      <c r="O34" s="56"/>
      <c r="W34" s="56" t="s">
        <v>116</v>
      </c>
      <c r="X34" s="56"/>
      <c r="Y34" s="56"/>
      <c r="Z34" s="56"/>
      <c r="AH34" s="56" t="s">
        <v>115</v>
      </c>
      <c r="AI34" s="56"/>
      <c r="AJ34" s="56"/>
      <c r="AK34" s="56"/>
      <c r="AS34" s="56" t="s">
        <v>114</v>
      </c>
      <c r="AT34" s="56"/>
      <c r="AU34" s="56"/>
      <c r="AV34" s="56"/>
      <c r="BD34" s="56" t="s">
        <v>118</v>
      </c>
      <c r="BE34" s="56"/>
      <c r="BF34" s="56"/>
      <c r="BG34" s="56"/>
      <c r="BH34" s="4" t="s">
        <v>139</v>
      </c>
      <c r="BI34" s="4"/>
      <c r="BJ34" s="4"/>
      <c r="BK34" s="4"/>
      <c r="BL34" s="4"/>
      <c r="BO34" s="56" t="s">
        <v>129</v>
      </c>
      <c r="BP34" s="56"/>
      <c r="BQ34" s="56"/>
      <c r="BR34" s="56"/>
      <c r="BZ34" s="56" t="s">
        <v>119</v>
      </c>
      <c r="CA34" s="56"/>
      <c r="CB34" s="56"/>
      <c r="CC34" s="56"/>
    </row>
    <row r="35" spans="1:87" ht="15" customHeight="1" thickBot="1" x14ac:dyDescent="0.45">
      <c r="A35" s="56"/>
      <c r="B35" s="56"/>
      <c r="C35" s="56"/>
      <c r="D35" s="56"/>
      <c r="F35">
        <f>COUNTIF('2024 NQ H1 Profiles MASTER'!B4:B1048576, "*Monday*")</f>
        <v>63</v>
      </c>
      <c r="K35" s="34"/>
      <c r="L35" s="56"/>
      <c r="M35" s="56"/>
      <c r="N35" s="56"/>
      <c r="O35" s="56"/>
      <c r="W35" s="56"/>
      <c r="X35" s="56"/>
      <c r="Y35" s="56"/>
      <c r="Z35" s="56"/>
      <c r="AH35" s="56"/>
      <c r="AI35" s="56"/>
      <c r="AJ35" s="56"/>
      <c r="AK35" s="56"/>
      <c r="AS35" s="56"/>
      <c r="AT35" s="56"/>
      <c r="AU35" s="56"/>
      <c r="AV35" s="56"/>
      <c r="BD35" s="56"/>
      <c r="BE35" s="56"/>
      <c r="BF35" s="56"/>
      <c r="BG35" s="56"/>
      <c r="BO35" s="56"/>
      <c r="BP35" s="56"/>
      <c r="BQ35" s="56"/>
      <c r="BR35" s="56"/>
      <c r="BZ35" s="56"/>
      <c r="CA35" s="56"/>
      <c r="CB35" s="56"/>
      <c r="CC35" s="56"/>
    </row>
    <row r="36" spans="1:87" ht="15.75" thickBot="1" x14ac:dyDescent="0.3">
      <c r="A36" t="s">
        <v>140</v>
      </c>
      <c r="B36" s="27" t="s">
        <v>13</v>
      </c>
      <c r="C36" s="28" t="s">
        <v>20</v>
      </c>
      <c r="D36" s="28" t="s">
        <v>33</v>
      </c>
      <c r="E36" s="28" t="s">
        <v>99</v>
      </c>
      <c r="F36" s="28" t="s">
        <v>82</v>
      </c>
      <c r="G36" s="28" t="s">
        <v>13</v>
      </c>
      <c r="H36" s="28" t="s">
        <v>20</v>
      </c>
      <c r="I36" s="28" t="s">
        <v>33</v>
      </c>
      <c r="J36" s="29" t="s">
        <v>99</v>
      </c>
      <c r="L36" t="s">
        <v>141</v>
      </c>
      <c r="M36" s="27" t="s">
        <v>13</v>
      </c>
      <c r="N36" s="28" t="s">
        <v>20</v>
      </c>
      <c r="O36" s="28" t="s">
        <v>33</v>
      </c>
      <c r="P36" s="28" t="s">
        <v>99</v>
      </c>
      <c r="Q36" s="28" t="s">
        <v>82</v>
      </c>
      <c r="R36" s="28" t="s">
        <v>13</v>
      </c>
      <c r="S36" s="28" t="s">
        <v>20</v>
      </c>
      <c r="T36" s="28" t="s">
        <v>33</v>
      </c>
      <c r="U36" s="29" t="s">
        <v>99</v>
      </c>
      <c r="W36" t="s">
        <v>142</v>
      </c>
      <c r="X36" s="27" t="s">
        <v>13</v>
      </c>
      <c r="Y36" s="28" t="s">
        <v>20</v>
      </c>
      <c r="Z36" s="28" t="s">
        <v>33</v>
      </c>
      <c r="AA36" s="28" t="s">
        <v>99</v>
      </c>
      <c r="AB36" s="28" t="s">
        <v>82</v>
      </c>
      <c r="AC36" s="28" t="s">
        <v>13</v>
      </c>
      <c r="AD36" s="28" t="s">
        <v>20</v>
      </c>
      <c r="AE36" s="28" t="s">
        <v>33</v>
      </c>
      <c r="AF36" s="29" t="s">
        <v>99</v>
      </c>
      <c r="AH36" t="s">
        <v>143</v>
      </c>
      <c r="AI36" s="27" t="s">
        <v>13</v>
      </c>
      <c r="AJ36" s="28" t="s">
        <v>20</v>
      </c>
      <c r="AK36" s="28" t="s">
        <v>33</v>
      </c>
      <c r="AL36" s="28" t="s">
        <v>99</v>
      </c>
      <c r="AM36" s="28" t="s">
        <v>82</v>
      </c>
      <c r="AN36" s="28" t="s">
        <v>13</v>
      </c>
      <c r="AO36" s="28" t="s">
        <v>20</v>
      </c>
      <c r="AP36" s="28" t="s">
        <v>33</v>
      </c>
      <c r="AQ36" s="29" t="s">
        <v>99</v>
      </c>
      <c r="AS36" t="s">
        <v>144</v>
      </c>
      <c r="AT36" s="27" t="s">
        <v>13</v>
      </c>
      <c r="AU36" s="28" t="s">
        <v>20</v>
      </c>
      <c r="AV36" s="28" t="s">
        <v>33</v>
      </c>
      <c r="AW36" s="28" t="s">
        <v>99</v>
      </c>
      <c r="AX36" s="28" t="s">
        <v>82</v>
      </c>
      <c r="AY36" s="28" t="s">
        <v>13</v>
      </c>
      <c r="AZ36" s="28" t="s">
        <v>20</v>
      </c>
      <c r="BA36" s="28" t="s">
        <v>33</v>
      </c>
      <c r="BB36" s="29" t="s">
        <v>99</v>
      </c>
      <c r="BE36" s="27" t="s">
        <v>13</v>
      </c>
      <c r="BF36" s="28" t="s">
        <v>20</v>
      </c>
      <c r="BG36" s="28" t="s">
        <v>33</v>
      </c>
      <c r="BH36" s="28" t="s">
        <v>99</v>
      </c>
      <c r="BI36" s="28" t="s">
        <v>82</v>
      </c>
      <c r="BJ36" s="28" t="s">
        <v>13</v>
      </c>
      <c r="BK36" s="28" t="s">
        <v>20</v>
      </c>
      <c r="BL36" s="28" t="s">
        <v>33</v>
      </c>
      <c r="BM36" s="29" t="s">
        <v>99</v>
      </c>
      <c r="BO36" t="s">
        <v>146</v>
      </c>
      <c r="BP36" s="27" t="s">
        <v>13</v>
      </c>
      <c r="BQ36" s="28" t="s">
        <v>20</v>
      </c>
      <c r="BR36" s="28" t="s">
        <v>33</v>
      </c>
      <c r="BS36" s="28" t="s">
        <v>99</v>
      </c>
      <c r="BT36" s="28" t="s">
        <v>82</v>
      </c>
      <c r="BU36" s="28" t="s">
        <v>13</v>
      </c>
      <c r="BV36" s="28" t="s">
        <v>20</v>
      </c>
      <c r="BW36" s="28" t="s">
        <v>33</v>
      </c>
      <c r="BX36" s="29" t="s">
        <v>99</v>
      </c>
      <c r="BZ36" t="s">
        <v>145</v>
      </c>
      <c r="CA36" s="27" t="s">
        <v>13</v>
      </c>
      <c r="CB36" s="28" t="s">
        <v>20</v>
      </c>
      <c r="CC36" s="28" t="s">
        <v>33</v>
      </c>
      <c r="CD36" s="28" t="s">
        <v>99</v>
      </c>
      <c r="CE36" s="28" t="s">
        <v>82</v>
      </c>
      <c r="CF36" s="28" t="s">
        <v>13</v>
      </c>
      <c r="CG36" s="28" t="s">
        <v>20</v>
      </c>
      <c r="CH36" s="28" t="s">
        <v>33</v>
      </c>
      <c r="CI36" s="29" t="s">
        <v>99</v>
      </c>
    </row>
    <row r="37" spans="1:87" x14ac:dyDescent="0.25">
      <c r="A37" s="37" t="s">
        <v>13</v>
      </c>
      <c r="B37" s="7">
        <f>COUNTIFS(Scr!R3:R1048576, "*Screamer*", Scr!B3:B1048576, "*Monday*" )</f>
        <v>3</v>
      </c>
      <c r="C37" s="7">
        <f>COUNTIFS(LP!R3:R1048576, "*Screamer*", LP!B3:B1048576, "*Monday*" )</f>
        <v>1</v>
      </c>
      <c r="D37" s="7">
        <f>COUNTIFS(ZD!R3:R1048576, "*Screamer*", ZD!B3:B1048576, "*Monday*" )</f>
        <v>4</v>
      </c>
      <c r="E37" s="7">
        <f>COUNTIFS(Wall!R3:R1048576, "*Screamer*", Wall!B3:B1048576, "*Monday*" )</f>
        <v>3</v>
      </c>
      <c r="F37" s="7">
        <f>SUM(B37:E37)</f>
        <v>11</v>
      </c>
      <c r="G37" s="25">
        <f>B37/$B$41</f>
        <v>0.21428571428571427</v>
      </c>
      <c r="H37" s="25">
        <f>C37/$C$41</f>
        <v>0.14285714285714285</v>
      </c>
      <c r="I37" s="25">
        <f>D37/$D$41</f>
        <v>0.18181818181818182</v>
      </c>
      <c r="J37" s="25">
        <f>E37/$E$41</f>
        <v>0.1875</v>
      </c>
      <c r="L37" s="37" t="s">
        <v>13</v>
      </c>
      <c r="M37" s="7">
        <f>COUNTIFS(Scr!R3:R1048576, "*Screamer*", Scr!B3:B1048576, "*Tuesday*" )</f>
        <v>3</v>
      </c>
      <c r="N37" s="7">
        <f>COUNTIFS(LP!R3:R1048576, "*Screamer*", LP!B3:B1048576, "*Tuesday*" )</f>
        <v>5</v>
      </c>
      <c r="O37" s="7">
        <f>COUNTIFS(ZD!R3:R1048576, "*Screamer*", ZD!B3:B1048576, "*Tuesday*" )</f>
        <v>10</v>
      </c>
      <c r="P37" s="7">
        <f>COUNTIFS(Wall!R3:R1048576, "*Screamer*", Wall!B3:B1048576, "*Tuesday*" )</f>
        <v>2</v>
      </c>
      <c r="Q37" s="7">
        <f>SUM(M37:P37)</f>
        <v>20</v>
      </c>
      <c r="R37" s="25">
        <f>M37/$M$41</f>
        <v>0.21428571428571427</v>
      </c>
      <c r="S37" s="25">
        <f>N37/$N$41</f>
        <v>0.3125</v>
      </c>
      <c r="T37" s="25">
        <f>O37/$O$41</f>
        <v>0.35714285714285715</v>
      </c>
      <c r="U37" s="25">
        <f>P37/$P$41</f>
        <v>0.25</v>
      </c>
      <c r="W37" s="37" t="s">
        <v>13</v>
      </c>
      <c r="X37" s="7">
        <f>COUNTIFS(Scr!R3:R1048576, "*Screamer*", Scr!B3:B1048576, "*Wednesday*" )</f>
        <v>3</v>
      </c>
      <c r="Y37" s="7">
        <f>COUNTIFS(LP!R3:R1048576, "*Screamer*", LP!B3:B1048576, "*Wednesday*" )</f>
        <v>2</v>
      </c>
      <c r="Z37" s="7">
        <f>COUNTIFS(ZD!R3:R1048576, "*Screamer*", ZD!B3:B1048576, "*Wednesday*" )</f>
        <v>7</v>
      </c>
      <c r="AA37" s="7">
        <f>COUNTIFS(Wall!R3:R1048576, "*Screamer*", Wall!B3:B1048576, "*Wednesday*" )</f>
        <v>1</v>
      </c>
      <c r="AB37" s="7">
        <f>SUM(X37:AA37)</f>
        <v>13</v>
      </c>
      <c r="AC37" s="25">
        <f>X37/$X$41</f>
        <v>0.15</v>
      </c>
      <c r="AD37" s="25">
        <f>Y37/$Y$41</f>
        <v>0.25</v>
      </c>
      <c r="AE37" s="25">
        <f>Z37/$Z$41</f>
        <v>0.2413793103448276</v>
      </c>
      <c r="AF37" s="25">
        <f>AA37/$AA$41</f>
        <v>0.1111111111111111</v>
      </c>
      <c r="AH37" s="37" t="s">
        <v>13</v>
      </c>
      <c r="AI37" s="7">
        <f>COUNTIFS(Scr!R3:R1048576, "*Screamer*", Scr!B3:B1048576, "*Thursday*" )</f>
        <v>2</v>
      </c>
      <c r="AJ37" s="7">
        <f>COUNTIFS(LP!R3:R1048576, "*Screamer*", LP!B3:B1048576, "*Thursday*" )</f>
        <v>1</v>
      </c>
      <c r="AK37" s="7">
        <f>COUNTIFS(ZD!R3:R1048576, "*Screamer*", ZD!B3:B1048576, "*Thursday*" )</f>
        <v>6</v>
      </c>
      <c r="AL37" s="7">
        <f>COUNTIFS(Wall!R3:R1048576, "*Screamer*", Wall!B3:B1048576, "*Thursday*" )</f>
        <v>1</v>
      </c>
      <c r="AM37" s="7">
        <f>SUM(AI37:AL37)</f>
        <v>10</v>
      </c>
      <c r="AN37" s="25">
        <f>AI37/$AI$41</f>
        <v>0.16666666666666666</v>
      </c>
      <c r="AO37" s="25">
        <f>AJ37/$AJ$41</f>
        <v>9.0909090909090912E-2</v>
      </c>
      <c r="AP37" s="25">
        <f>AK37/$AK$41</f>
        <v>0.17142857142857143</v>
      </c>
      <c r="AQ37" s="25">
        <f>AL37/$AL$41</f>
        <v>0.125</v>
      </c>
      <c r="AS37" s="37" t="s">
        <v>13</v>
      </c>
      <c r="AT37" s="7">
        <f>COUNTIFS(Scr!R3:R1048576, "*Screamer*", Scr!B3:B1048576, "*Friday*" )</f>
        <v>1</v>
      </c>
      <c r="AU37" s="7">
        <f>COUNTIFS(LP!R3:R1048576, "*Screamer*", LP!B3:B1048576, "*Friday*" )</f>
        <v>2</v>
      </c>
      <c r="AV37" s="7">
        <f>COUNTIFS(ZD!R3:R1048576, "*Screamer*", ZD!B3:B1048576, "*Friday*" )</f>
        <v>6</v>
      </c>
      <c r="AW37" s="7">
        <f>COUNTIFS(Wall!R3:R1048576, "*Screamer*", Wall!B3:B1048576, "*Friday*" )</f>
        <v>10</v>
      </c>
      <c r="AX37" s="7">
        <f>SUM(AT37:AW37)</f>
        <v>19</v>
      </c>
      <c r="AY37" s="25">
        <f>AT37/$AT$41</f>
        <v>0.1</v>
      </c>
      <c r="AZ37" s="25">
        <f>AU37/$AU$41</f>
        <v>0.2</v>
      </c>
      <c r="BA37" s="25">
        <f>AV37/$AV$41</f>
        <v>0.2</v>
      </c>
      <c r="BB37" s="25">
        <f>AW37/$AW$41</f>
        <v>0.625</v>
      </c>
      <c r="BD37" s="37" t="s">
        <v>13</v>
      </c>
      <c r="BE37" s="7">
        <f>COUNTIFS(Scr!AC3:AC1048576, "*Screamer*", Scr!B3:B1048576, "*PH*" )</f>
        <v>0</v>
      </c>
      <c r="BF37" s="7"/>
      <c r="BG37" s="7"/>
      <c r="BH37" s="7"/>
      <c r="BI37" s="7"/>
      <c r="BJ37" s="7"/>
      <c r="BK37" s="7"/>
      <c r="BL37" s="7"/>
      <c r="BM37" s="7"/>
      <c r="BO37" s="37" t="s">
        <v>13</v>
      </c>
      <c r="BP37" s="7"/>
      <c r="BQ37" s="7"/>
      <c r="BR37" s="7"/>
      <c r="BS37" s="7"/>
      <c r="BT37" s="7"/>
      <c r="BU37" s="7"/>
      <c r="BV37" s="7"/>
      <c r="BW37" s="7"/>
      <c r="BX37" s="7"/>
      <c r="BZ37" s="37" t="s">
        <v>13</v>
      </c>
      <c r="CA37" s="7">
        <f>COUNTIFS(Scr!AY3:AY1048576, "*Screamer*", Scr!AI3:AI1048576, "*Friday*" )</f>
        <v>0</v>
      </c>
      <c r="CB37" s="7"/>
      <c r="CC37" s="7"/>
      <c r="CD37" s="7"/>
      <c r="CE37" s="7"/>
      <c r="CF37" s="7"/>
      <c r="CG37" s="7"/>
      <c r="CH37" s="7"/>
      <c r="CI37" s="7"/>
    </row>
    <row r="38" spans="1:87" x14ac:dyDescent="0.25">
      <c r="A38" s="26" t="s">
        <v>20</v>
      </c>
      <c r="B38" s="7">
        <f>COUNTIFS(Scr!R3:R1048576, "*Lon Pivot*", Scr!B3:B1048576, "*Monday*" )</f>
        <v>4</v>
      </c>
      <c r="C38" s="7">
        <f>COUNTIFS(LP!R3:R1048576, "*Lon Pivot*", LP!B3:B1048576, "*Monday*" )</f>
        <v>0</v>
      </c>
      <c r="D38" s="7">
        <f>COUNTIFS(ZD!R3:R1048576, "*Pivot*", ZD!B3:B1048576, "*Monday*" )</f>
        <v>8</v>
      </c>
      <c r="E38" s="7">
        <f>COUNTIFS(Wall!R3:R1048576, "*Pivot*", Wall!B3:B1048576, "*Monday*" )</f>
        <v>3</v>
      </c>
      <c r="F38" s="7">
        <f t="shared" ref="F38:F40" si="7">SUM(B38:E38)</f>
        <v>15</v>
      </c>
      <c r="G38" s="25">
        <f>B38/$B$41</f>
        <v>0.2857142857142857</v>
      </c>
      <c r="H38" s="25">
        <f t="shared" ref="H38:H40" si="8">C38/$C$41</f>
        <v>0</v>
      </c>
      <c r="I38" s="25">
        <f t="shared" ref="I38:I40" si="9">D38/$D$41</f>
        <v>0.36363636363636365</v>
      </c>
      <c r="J38" s="25">
        <f t="shared" ref="J38:J40" si="10">E38/$E$41</f>
        <v>0.1875</v>
      </c>
      <c r="L38" s="26" t="s">
        <v>20</v>
      </c>
      <c r="M38" s="7">
        <f>COUNTIFS(Scr!R3:R1048576, "*Lon Pivot*", Scr!B3:B1048576, "*Tuesday*" )</f>
        <v>1</v>
      </c>
      <c r="N38" s="7">
        <f>COUNTIFS(LP!R3:R1048576, "*Pivot*", LP!B3:B1048576, "*Tuesday*" )</f>
        <v>1</v>
      </c>
      <c r="O38" s="7">
        <f>COUNTIFS(ZD!R3:R1048576, "*Pivot*", ZD!B3:B1048576, "*Tuesday*" )</f>
        <v>6</v>
      </c>
      <c r="P38" s="7">
        <f>COUNTIFS(Wall!R3:R1048576, "*pivot*", Wall!B3:B1048576, "*Tuesday*" )</f>
        <v>1</v>
      </c>
      <c r="Q38" s="7">
        <f t="shared" ref="Q38:Q40" si="11">SUM(M38:P38)</f>
        <v>9</v>
      </c>
      <c r="R38" s="25">
        <f t="shared" ref="R38:R40" si="12">M38/$M$41</f>
        <v>7.1428571428571425E-2</v>
      </c>
      <c r="S38" s="25">
        <f t="shared" ref="S38:S40" si="13">N38/$N$41</f>
        <v>6.25E-2</v>
      </c>
      <c r="T38" s="25">
        <f t="shared" ref="T38:T40" si="14">O38/$O$41</f>
        <v>0.21428571428571427</v>
      </c>
      <c r="U38" s="25">
        <f t="shared" ref="U38:U40" si="15">P38/$P$41</f>
        <v>0.125</v>
      </c>
      <c r="W38" s="26" t="s">
        <v>20</v>
      </c>
      <c r="X38" s="7">
        <f>COUNTIFS(Scr!R3:R1048576, "*Lon Pivot*", Scr!B3:B1048576, "*Wednesday*" )</f>
        <v>4</v>
      </c>
      <c r="Y38" s="7">
        <f>COUNTIFS(LP!R3:R1048576, "*Lon Pivot*", LP!B3:B1048576, "*Wednesday*" )</f>
        <v>0</v>
      </c>
      <c r="Z38" s="7">
        <f>COUNTIFS(ZD!R3:R1048576, "*Lon Pivot*", ZD!B3:B1048576, "*Wednesday*" )</f>
        <v>4</v>
      </c>
      <c r="AA38" s="7">
        <f>COUNTIFS(Wall!R3:R1048576, "*Lon Pivot*", Wall!B3:B1048576, "*Wednesday*" )</f>
        <v>1</v>
      </c>
      <c r="AB38" s="7">
        <f t="shared" ref="AB38:AB40" si="16">SUM(X38:AA38)</f>
        <v>9</v>
      </c>
      <c r="AC38" s="25">
        <f t="shared" ref="AC38:AC40" si="17">X38/$X$41</f>
        <v>0.2</v>
      </c>
      <c r="AD38" s="25">
        <f t="shared" ref="AD38:AD40" si="18">Y38/$Y$41</f>
        <v>0</v>
      </c>
      <c r="AE38" s="25">
        <f t="shared" ref="AE38:AE40" si="19">Z38/$Z$41</f>
        <v>0.13793103448275862</v>
      </c>
      <c r="AF38" s="25">
        <f t="shared" ref="AF38:AF40" si="20">AA38/$AA$41</f>
        <v>0.1111111111111111</v>
      </c>
      <c r="AH38" s="26" t="s">
        <v>20</v>
      </c>
      <c r="AI38" s="7">
        <f>COUNTIFS(Scr!R3:R1048576, "*Lon Pivot*", Scr!B3:B1048576, "*Thursday*" )</f>
        <v>1</v>
      </c>
      <c r="AJ38" s="7">
        <f>COUNTIFS(LP!R3:R1048576, "*Lon Pivot*", LP!B3:B1048576, "*Thursday*" )</f>
        <v>3</v>
      </c>
      <c r="AK38" s="7">
        <f>COUNTIFS(ZD!R3:R1048576, "*Lon Pivot*", ZD!B3:B1048576, "*Thursday*" )</f>
        <v>6</v>
      </c>
      <c r="AL38" s="7">
        <f>COUNTIFS(Wall!R3:R1048576, "*Lon Pivot*", Wall!B3:B1048576, "*Thursday*" )</f>
        <v>0</v>
      </c>
      <c r="AM38" s="7">
        <f t="shared" ref="AM38:AM40" si="21">SUM(AI38:AL38)</f>
        <v>10</v>
      </c>
      <c r="AN38" s="25">
        <f t="shared" ref="AN38:AN40" si="22">AI38/$AI$41</f>
        <v>8.3333333333333329E-2</v>
      </c>
      <c r="AO38" s="25">
        <f t="shared" ref="AO38:AO40" si="23">AJ38/$AJ$41</f>
        <v>0.27272727272727271</v>
      </c>
      <c r="AP38" s="25">
        <f t="shared" ref="AP38:AP40" si="24">AK38/$AK$41</f>
        <v>0.17142857142857143</v>
      </c>
      <c r="AQ38" s="25">
        <f t="shared" ref="AQ38:AQ40" si="25">AL38/$AL$41</f>
        <v>0</v>
      </c>
      <c r="AS38" s="26" t="s">
        <v>20</v>
      </c>
      <c r="AT38" s="7">
        <f>COUNTIFS(Scr!R3:R1048576, "*Lon Pivot*", Scr!B3:B1048576, "*Friday*" )</f>
        <v>2</v>
      </c>
      <c r="AU38" s="7">
        <f>COUNTIFS(LP!R3:R1048576, "*PIVOT*", LP!B3:B1048576, "*Friday*" )</f>
        <v>1</v>
      </c>
      <c r="AV38" s="7">
        <f>COUNTIFS(ZD!R3:R1048576, "*PIVOT*", ZD!B3:B1048576, "*Friday*" )</f>
        <v>3</v>
      </c>
      <c r="AW38" s="7">
        <f>COUNTIFS(Wall!R3:R1048576, "*PIVOT*", Wall!B3:B1048576, "*Friday*" )</f>
        <v>2</v>
      </c>
      <c r="AX38" s="7">
        <f t="shared" ref="AX38:AX40" si="26">SUM(AT38:AW38)</f>
        <v>8</v>
      </c>
      <c r="AY38" s="25">
        <f t="shared" ref="AY38:AY40" si="27">AT38/$AT$41</f>
        <v>0.2</v>
      </c>
      <c r="AZ38" s="25">
        <f t="shared" ref="AZ38:AZ40" si="28">AU38/$AU$41</f>
        <v>0.1</v>
      </c>
      <c r="BA38" s="25">
        <f t="shared" ref="BA38:BA40" si="29">AV38/$AV$41</f>
        <v>0.1</v>
      </c>
      <c r="BB38" s="25">
        <f t="shared" ref="BB38:BB40" si="30">AW38/$AW$41</f>
        <v>0.125</v>
      </c>
      <c r="BD38" s="26" t="s">
        <v>20</v>
      </c>
      <c r="BE38" s="7">
        <f>COUNTIFS(Scr!AC3:AC1048576, "*Lon Pivot*", Scr!B3:B1048576, "*PH*" )</f>
        <v>0</v>
      </c>
      <c r="BF38" s="7"/>
      <c r="BG38" s="7"/>
      <c r="BH38" s="7"/>
      <c r="BI38" s="7"/>
      <c r="BJ38" s="7"/>
      <c r="BK38" s="7"/>
      <c r="BL38" s="7"/>
      <c r="BM38" s="7"/>
      <c r="BO38" s="26" t="s">
        <v>20</v>
      </c>
      <c r="BP38" s="7"/>
      <c r="BQ38" s="7"/>
      <c r="BR38" s="7"/>
      <c r="BS38" s="7"/>
      <c r="BT38" s="7"/>
      <c r="BU38" s="7"/>
      <c r="BV38" s="7"/>
      <c r="BW38" s="7"/>
      <c r="BX38" s="7"/>
      <c r="BZ38" s="26" t="s">
        <v>20</v>
      </c>
      <c r="CA38" s="7">
        <f>COUNTIFS(Scr!AY3:AY1048576, "*Lon Pivot*", Scr!AI3:AI1048576, "*Friday*" )</f>
        <v>0</v>
      </c>
      <c r="CB38" s="7"/>
      <c r="CC38" s="7"/>
      <c r="CD38" s="7"/>
      <c r="CE38" s="7"/>
      <c r="CF38" s="7"/>
      <c r="CG38" s="7"/>
      <c r="CH38" s="7"/>
      <c r="CI38" s="7"/>
    </row>
    <row r="39" spans="1:87" x14ac:dyDescent="0.25">
      <c r="A39" s="26" t="s">
        <v>33</v>
      </c>
      <c r="B39" s="7">
        <f>COUNTIFS(Scr!R3:R1048576, "*Z Day*", Scr!B3:B1048576, "*Monday*" )</f>
        <v>3</v>
      </c>
      <c r="C39" s="7">
        <f>COUNTIFS(LP!R3:R1048576, "*Z Day*", LP!B3:B1048576, "*Monday*" )</f>
        <v>5</v>
      </c>
      <c r="D39" s="7">
        <f>COUNTIFS(ZD!R3:R1048576, "*Z Day*", ZD!B3:B1048576, "*Monday*" )</f>
        <v>8</v>
      </c>
      <c r="E39" s="7">
        <f>COUNTIFS(Wall!R3:R1048576, "*Z Day*", Wall!B3:B1048576, "*Monday*" )</f>
        <v>10</v>
      </c>
      <c r="F39" s="7">
        <f t="shared" si="7"/>
        <v>26</v>
      </c>
      <c r="G39" s="25">
        <f t="shared" ref="G39:G40" si="31">B39/$B$41</f>
        <v>0.21428571428571427</v>
      </c>
      <c r="H39" s="25">
        <f t="shared" si="8"/>
        <v>0.7142857142857143</v>
      </c>
      <c r="I39" s="25">
        <f t="shared" si="9"/>
        <v>0.36363636363636365</v>
      </c>
      <c r="J39" s="25">
        <f t="shared" si="10"/>
        <v>0.625</v>
      </c>
      <c r="L39" s="26" t="s">
        <v>33</v>
      </c>
      <c r="M39" s="7">
        <f>COUNTIFS(Scr!R3:R1048576, "*NY Z Day*", Scr!B3:B1048576, "*Tuesday*" )</f>
        <v>8</v>
      </c>
      <c r="N39" s="7">
        <f>COUNTIFS(LP!R3:R1048576, "*NY Z Day*", LP!B3:B1048576, "*Tuesday*" )</f>
        <v>8</v>
      </c>
      <c r="O39" s="7">
        <f>COUNTIFS(ZD!R3:R1048576, "*NY Z day*", ZD!B3:B1048576, "*Tuesday*" )</f>
        <v>8</v>
      </c>
      <c r="P39" s="7">
        <f>COUNTIFS(Wall!R3:R1048576, "*NY Z Day*", Wall!B3:B1048576, "*Tuesday*" )</f>
        <v>4</v>
      </c>
      <c r="Q39" s="7">
        <f t="shared" si="11"/>
        <v>28</v>
      </c>
      <c r="R39" s="25">
        <f t="shared" si="12"/>
        <v>0.5714285714285714</v>
      </c>
      <c r="S39" s="25">
        <f t="shared" si="13"/>
        <v>0.5</v>
      </c>
      <c r="T39" s="25">
        <f t="shared" si="14"/>
        <v>0.2857142857142857</v>
      </c>
      <c r="U39" s="25">
        <f t="shared" si="15"/>
        <v>0.5</v>
      </c>
      <c r="W39" s="26" t="s">
        <v>33</v>
      </c>
      <c r="X39" s="7">
        <f>COUNTIFS(Scr!R3:R1048576, "*Z Day*", Scr!B3:B1048576, "*Wednesday*" )</f>
        <v>11</v>
      </c>
      <c r="Y39" s="7">
        <f>COUNTIFS(LP!R3:R1048576, "*Z Day*", LP!B3:B1048576, "*Wednesday*" )</f>
        <v>5</v>
      </c>
      <c r="Z39" s="7">
        <f>COUNTIFS(ZD!R3:R1048576, "*Z Day*", ZD!B3:B1048576, "*Wednesday*" )</f>
        <v>16</v>
      </c>
      <c r="AA39" s="7">
        <f>COUNTIFS(Wall!R3:R1048576, "*Z Day*", Wall!B3:B1048576, "*Wednesday*" )</f>
        <v>4</v>
      </c>
      <c r="AB39" s="7">
        <f t="shared" si="16"/>
        <v>36</v>
      </c>
      <c r="AC39" s="25">
        <f t="shared" si="17"/>
        <v>0.55000000000000004</v>
      </c>
      <c r="AD39" s="25">
        <f t="shared" si="18"/>
        <v>0.625</v>
      </c>
      <c r="AE39" s="25">
        <f t="shared" si="19"/>
        <v>0.55172413793103448</v>
      </c>
      <c r="AF39" s="25">
        <f t="shared" si="20"/>
        <v>0.44444444444444442</v>
      </c>
      <c r="AH39" s="26" t="s">
        <v>33</v>
      </c>
      <c r="AI39" s="7">
        <f>COUNTIFS(Scr!R3:R1048576, "*Z Day*", Scr!B3:B1048576, "*Thursday*" )</f>
        <v>3</v>
      </c>
      <c r="AJ39" s="7">
        <f>COUNTIFS(LP!R3:R1048576, "*Z Day*", LP!B3:B1048576, "*Thursday*" )</f>
        <v>6</v>
      </c>
      <c r="AK39" s="7">
        <f>COUNTIFS(ZD!R3:R1048576, "*Z Day*", ZD!B3:B1048576, "*Thursday*" )</f>
        <v>18</v>
      </c>
      <c r="AL39" s="7">
        <f>COUNTIFS(Wall!R3:R1048576, "*Z Day*", Wall!B3:B1048576, "*Thursday*" )</f>
        <v>3</v>
      </c>
      <c r="AM39" s="7">
        <f t="shared" si="21"/>
        <v>30</v>
      </c>
      <c r="AN39" s="25">
        <f t="shared" si="22"/>
        <v>0.25</v>
      </c>
      <c r="AO39" s="25">
        <f t="shared" si="23"/>
        <v>0.54545454545454541</v>
      </c>
      <c r="AP39" s="25">
        <f t="shared" si="24"/>
        <v>0.51428571428571423</v>
      </c>
      <c r="AQ39" s="25">
        <f t="shared" si="25"/>
        <v>0.375</v>
      </c>
      <c r="AS39" s="26" t="s">
        <v>33</v>
      </c>
      <c r="AT39" s="7">
        <f>COUNTIFS(Scr!R3:R1048576, "*Z Day*", Scr!B3:B1048576, "*Friday*" )</f>
        <v>4</v>
      </c>
      <c r="AU39" s="7">
        <f>COUNTIFS(LP!R3:R1048576, "*Z DAY*", LP!B3:B1048576, "*Friday*" )</f>
        <v>5</v>
      </c>
      <c r="AV39" s="7">
        <f>COUNTIFS(ZD!R3:R1048576, "*Z DAY*", ZD!B3:B1048576, "*Friday*" )</f>
        <v>12</v>
      </c>
      <c r="AW39" s="7">
        <f>COUNTIFS(Wall!R3:R1048576, "*Z DAY*", Wall!B3:B1048576, "*Friday*" )</f>
        <v>1</v>
      </c>
      <c r="AX39" s="7">
        <f t="shared" si="26"/>
        <v>22</v>
      </c>
      <c r="AY39" s="25">
        <f t="shared" si="27"/>
        <v>0.4</v>
      </c>
      <c r="AZ39" s="25">
        <f t="shared" si="28"/>
        <v>0.5</v>
      </c>
      <c r="BA39" s="25">
        <f t="shared" si="29"/>
        <v>0.4</v>
      </c>
      <c r="BB39" s="25">
        <f t="shared" si="30"/>
        <v>6.25E-2</v>
      </c>
      <c r="BD39" s="26" t="s">
        <v>33</v>
      </c>
      <c r="BE39" s="7">
        <f>COUNTIFS(Scr!AC3:AC1048576, "*Z Day*", Scr!B3:B1048576, "*PH*" )</f>
        <v>0</v>
      </c>
      <c r="BF39" s="7"/>
      <c r="BG39" s="7"/>
      <c r="BH39" s="7"/>
      <c r="BI39" s="7"/>
      <c r="BJ39" s="7"/>
      <c r="BK39" s="7"/>
      <c r="BL39" s="7"/>
      <c r="BM39" s="7"/>
      <c r="BO39" s="26" t="s">
        <v>33</v>
      </c>
      <c r="BP39" s="7"/>
      <c r="BQ39" s="7"/>
      <c r="BR39" s="7"/>
      <c r="BS39" s="7"/>
      <c r="BT39" s="7"/>
      <c r="BU39" s="7"/>
      <c r="BV39" s="7"/>
      <c r="BW39" s="7"/>
      <c r="BX39" s="7"/>
      <c r="BZ39" s="26" t="s">
        <v>33</v>
      </c>
      <c r="CA39" s="7">
        <f>COUNTIFS(Scr!AY3:AY1048576, "*Z Day*", Scr!AI3:AI1048576, "*Friday*" )</f>
        <v>0</v>
      </c>
      <c r="CB39" s="7"/>
      <c r="CC39" s="7"/>
      <c r="CD39" s="7"/>
      <c r="CE39" s="7"/>
      <c r="CF39" s="7"/>
      <c r="CG39" s="7"/>
      <c r="CH39" s="7"/>
      <c r="CI39" s="7"/>
    </row>
    <row r="40" spans="1:87" x14ac:dyDescent="0.25">
      <c r="A40" s="26" t="s">
        <v>99</v>
      </c>
      <c r="B40" s="7">
        <f>COUNTIFS(Scr!R3:R1048576, "*Wall*", Scr!B3:B1048576, "*Monday*" )</f>
        <v>4</v>
      </c>
      <c r="C40" s="7">
        <f>COUNTIFS(LP!R3:R1048576, "*Wall*", LP!B3:B1048576, "*Monday*" )</f>
        <v>1</v>
      </c>
      <c r="D40" s="7">
        <f>COUNTIFS(ZD!R3:R1048576, "*wall*", ZD!B3:B1048576, "*Monday*" )</f>
        <v>2</v>
      </c>
      <c r="E40" s="7">
        <f>COUNTIFS(Wall!R3:R1048576, "*Wall*", Wall!B3:B1048576, "*Monday*" )</f>
        <v>0</v>
      </c>
      <c r="F40" s="7">
        <f t="shared" si="7"/>
        <v>7</v>
      </c>
      <c r="G40" s="25">
        <f t="shared" si="31"/>
        <v>0.2857142857142857</v>
      </c>
      <c r="H40" s="25">
        <f t="shared" si="8"/>
        <v>0.14285714285714285</v>
      </c>
      <c r="I40" s="25">
        <f t="shared" si="9"/>
        <v>9.0909090909090912E-2</v>
      </c>
      <c r="J40" s="25">
        <f t="shared" si="10"/>
        <v>0</v>
      </c>
      <c r="L40" s="26" t="s">
        <v>99</v>
      </c>
      <c r="M40" s="7">
        <f>COUNTIFS(Scr!R3:R1048576, "*Wall*", Scr!B3:B1048576, "*Tuesday*" )</f>
        <v>2</v>
      </c>
      <c r="N40" s="7">
        <f>COUNTIFS(LP!R3:R1048576, "*Wall*", LP!B3:B1048576, "*Tuesday*" )</f>
        <v>2</v>
      </c>
      <c r="O40" s="7">
        <f>COUNTIFS(ZD!R3:R1048576, "*wall*", ZD!B3:B1048576, "*Tuesday*" )</f>
        <v>4</v>
      </c>
      <c r="P40" s="7">
        <f>COUNTIFS(Wall!R3:R1048576, "*wall*", Wall!B3:B1048576, "*Tuesday*" )</f>
        <v>1</v>
      </c>
      <c r="Q40" s="7">
        <f t="shared" si="11"/>
        <v>9</v>
      </c>
      <c r="R40" s="25">
        <f t="shared" si="12"/>
        <v>0.14285714285714285</v>
      </c>
      <c r="S40" s="25">
        <f t="shared" si="13"/>
        <v>0.125</v>
      </c>
      <c r="T40" s="25">
        <f t="shared" si="14"/>
        <v>0.14285714285714285</v>
      </c>
      <c r="U40" s="25">
        <f t="shared" si="15"/>
        <v>0.125</v>
      </c>
      <c r="W40" s="26" t="s">
        <v>99</v>
      </c>
      <c r="X40" s="7">
        <f>COUNTIFS(Scr!R3:R1048576, "*Wall*", Scr!B3:B1048576, "*Wednesday*" )</f>
        <v>2</v>
      </c>
      <c r="Y40" s="7">
        <f>COUNTIFS(LP!R3:R1048576, "*Wall*", LP!B3:B1048576, "*Wednesday*" )</f>
        <v>1</v>
      </c>
      <c r="Z40" s="7">
        <f>COUNTIFS(ZD!R3:R1048576, "*Wall*", ZD!B3:B1048576, "*Wednesday*" )</f>
        <v>2</v>
      </c>
      <c r="AA40" s="7">
        <f>COUNTIFS(Wall!R3:R1048576, "*Wall*", Wall!B3:B1048576, "*Wednesday*" )</f>
        <v>3</v>
      </c>
      <c r="AB40" s="7">
        <f t="shared" si="16"/>
        <v>8</v>
      </c>
      <c r="AC40" s="25">
        <f t="shared" si="17"/>
        <v>0.1</v>
      </c>
      <c r="AD40" s="25">
        <f t="shared" si="18"/>
        <v>0.125</v>
      </c>
      <c r="AE40" s="25">
        <f t="shared" si="19"/>
        <v>6.8965517241379309E-2</v>
      </c>
      <c r="AF40" s="25">
        <f t="shared" si="20"/>
        <v>0.33333333333333331</v>
      </c>
      <c r="AH40" s="26" t="s">
        <v>99</v>
      </c>
      <c r="AI40" s="7">
        <f>COUNTIFS(Scr!R3:R1048576, "*Wall*", Scr!B3:B1048576, "*Thursday*" )</f>
        <v>6</v>
      </c>
      <c r="AJ40" s="7">
        <f>COUNTIFS(LP!R3:R1048576, "*Wall*", LP!B3:B1048576, "*Thursday*" )</f>
        <v>1</v>
      </c>
      <c r="AK40" s="7">
        <f>COUNTIFS(ZD!R3:R1048576, "*Wall*", ZD!B3:B1048576, "*Thursday*" )</f>
        <v>5</v>
      </c>
      <c r="AL40" s="7">
        <f>COUNTIFS(Wall!R3:R1048576, "*Wall*", Wall!B3:B1048576, "*Thursday*" )</f>
        <v>4</v>
      </c>
      <c r="AM40" s="7">
        <f t="shared" si="21"/>
        <v>16</v>
      </c>
      <c r="AN40" s="25">
        <f t="shared" si="22"/>
        <v>0.5</v>
      </c>
      <c r="AO40" s="25">
        <f t="shared" si="23"/>
        <v>9.0909090909090912E-2</v>
      </c>
      <c r="AP40" s="25">
        <f t="shared" si="24"/>
        <v>0.14285714285714285</v>
      </c>
      <c r="AQ40" s="25">
        <f t="shared" si="25"/>
        <v>0.5</v>
      </c>
      <c r="AS40" s="26" t="s">
        <v>99</v>
      </c>
      <c r="AT40" s="7">
        <f>COUNTIFS(Scr!R3:R1048576, "*Wall*", Scr!B3:B1048576, "*Friday*" )</f>
        <v>3</v>
      </c>
      <c r="AU40" s="7">
        <f>COUNTIFS(LP!R3:R1048576, "*WALL*", LP!B3:B1048576, "*Friday*" )</f>
        <v>2</v>
      </c>
      <c r="AV40" s="7">
        <f>COUNTIFS(ZD!R3:R1048576, "*WALL*", ZD!B3:B1048576, "*Friday*" )</f>
        <v>9</v>
      </c>
      <c r="AW40" s="7">
        <f>COUNTIFS(Wall!R3:R1048576, "*WALL*", Wall!B3:B1048576, "*Friday*" )</f>
        <v>3</v>
      </c>
      <c r="AX40" s="7">
        <f t="shared" si="26"/>
        <v>17</v>
      </c>
      <c r="AY40" s="25">
        <f t="shared" si="27"/>
        <v>0.3</v>
      </c>
      <c r="AZ40" s="25">
        <f t="shared" si="28"/>
        <v>0.2</v>
      </c>
      <c r="BA40" s="25">
        <f t="shared" si="29"/>
        <v>0.3</v>
      </c>
      <c r="BB40" s="25">
        <f t="shared" si="30"/>
        <v>0.1875</v>
      </c>
      <c r="BD40" s="26" t="s">
        <v>99</v>
      </c>
      <c r="BE40" s="7">
        <f>COUNTIFS(Scr!AC3:AC1048576, "*Wall*", Scr!B3:B1048576, "*PH*" )</f>
        <v>0</v>
      </c>
      <c r="BF40" s="7"/>
      <c r="BG40" s="7"/>
      <c r="BH40" s="7"/>
      <c r="BI40" s="7"/>
      <c r="BJ40" s="7"/>
      <c r="BK40" s="7"/>
      <c r="BL40" s="7"/>
      <c r="BM40" s="7"/>
      <c r="BO40" s="26" t="s">
        <v>99</v>
      </c>
      <c r="BP40" s="7">
        <f>COUNTIFS(Scr!AN3:AN1048576, "*Wall*", Scr!X3:X1048576, "*Friday*" )</f>
        <v>0</v>
      </c>
      <c r="BQ40" s="7"/>
      <c r="BR40" s="7"/>
      <c r="BS40" s="7"/>
      <c r="BT40" s="7"/>
      <c r="BU40" s="7"/>
      <c r="BV40" s="7"/>
      <c r="BW40" s="7"/>
      <c r="BX40" s="7"/>
      <c r="BZ40" s="26" t="s">
        <v>99</v>
      </c>
      <c r="CA40" s="7">
        <f>COUNTIFS(Scr!AY3:AY1048576, "*Wall*", Scr!AI3:AI1048576, "*Friday*" )</f>
        <v>0</v>
      </c>
      <c r="CB40" s="7"/>
      <c r="CC40" s="7"/>
      <c r="CD40" s="7"/>
      <c r="CE40" s="7"/>
      <c r="CF40" s="7"/>
      <c r="CG40" s="7"/>
      <c r="CH40" s="7"/>
      <c r="CI40" s="7"/>
    </row>
    <row r="41" spans="1:87" x14ac:dyDescent="0.25">
      <c r="A41" s="7" t="s">
        <v>138</v>
      </c>
      <c r="B41" s="7">
        <f>SUM(B37:B40)</f>
        <v>14</v>
      </c>
      <c r="C41" s="7">
        <f t="shared" ref="C41:F41" si="32">SUM(C37:C40)</f>
        <v>7</v>
      </c>
      <c r="D41" s="7">
        <f t="shared" si="32"/>
        <v>22</v>
      </c>
      <c r="E41" s="7">
        <f t="shared" si="32"/>
        <v>16</v>
      </c>
      <c r="F41" s="7">
        <f t="shared" si="32"/>
        <v>59</v>
      </c>
      <c r="L41" s="7" t="s">
        <v>138</v>
      </c>
      <c r="M41" s="7">
        <f>SUM(M37:M40)</f>
        <v>14</v>
      </c>
      <c r="N41" s="7">
        <f t="shared" ref="N41" si="33">SUM(N37:N40)</f>
        <v>16</v>
      </c>
      <c r="O41" s="7">
        <f t="shared" ref="O41" si="34">SUM(O37:O40)</f>
        <v>28</v>
      </c>
      <c r="P41" s="7">
        <f t="shared" ref="P41" si="35">SUM(P37:P40)</f>
        <v>8</v>
      </c>
      <c r="Q41" s="7">
        <f t="shared" ref="Q41" si="36">SUM(Q37:Q40)</f>
        <v>66</v>
      </c>
      <c r="W41" s="7" t="s">
        <v>138</v>
      </c>
      <c r="X41" s="7">
        <f>SUM(X37:X40)</f>
        <v>20</v>
      </c>
      <c r="Y41" s="7">
        <f t="shared" ref="Y41" si="37">SUM(Y37:Y40)</f>
        <v>8</v>
      </c>
      <c r="Z41" s="7">
        <f t="shared" ref="Z41" si="38">SUM(Z37:Z40)</f>
        <v>29</v>
      </c>
      <c r="AA41" s="7">
        <f t="shared" ref="AA41" si="39">SUM(AA37:AA40)</f>
        <v>9</v>
      </c>
      <c r="AB41" s="7">
        <f t="shared" ref="AB41" si="40">SUM(AB37:AB40)</f>
        <v>66</v>
      </c>
      <c r="AH41" s="7" t="s">
        <v>138</v>
      </c>
      <c r="AI41" s="7">
        <f>SUM(AI37:AI40)</f>
        <v>12</v>
      </c>
      <c r="AJ41" s="7">
        <f t="shared" ref="AJ41" si="41">SUM(AJ37:AJ40)</f>
        <v>11</v>
      </c>
      <c r="AK41" s="7">
        <f t="shared" ref="AK41" si="42">SUM(AK37:AK40)</f>
        <v>35</v>
      </c>
      <c r="AL41" s="7">
        <f t="shared" ref="AL41" si="43">SUM(AL37:AL40)</f>
        <v>8</v>
      </c>
      <c r="AM41" s="7">
        <f t="shared" ref="AM41" si="44">SUM(AM37:AM40)</f>
        <v>66</v>
      </c>
      <c r="AS41" s="7" t="s">
        <v>138</v>
      </c>
      <c r="AT41" s="7">
        <f>SUM(AT37:AT40)</f>
        <v>10</v>
      </c>
      <c r="AU41" s="7">
        <f t="shared" ref="AU41" si="45">SUM(AU37:AU40)</f>
        <v>10</v>
      </c>
      <c r="AV41" s="7">
        <f t="shared" ref="AV41" si="46">SUM(AV37:AV40)</f>
        <v>30</v>
      </c>
      <c r="AW41" s="7">
        <f t="shared" ref="AW41" si="47">SUM(AW37:AW40)</f>
        <v>16</v>
      </c>
      <c r="AX41" s="7">
        <f t="shared" ref="AX41" si="48">SUM(AX37:AX40)</f>
        <v>66</v>
      </c>
      <c r="BD41" s="7" t="s">
        <v>138</v>
      </c>
      <c r="BE41" s="7">
        <f>SUM(BE37:BE40)</f>
        <v>0</v>
      </c>
      <c r="BF41" s="7">
        <f t="shared" ref="BF41" si="49">SUM(BF37:BF40)</f>
        <v>0</v>
      </c>
      <c r="BG41" s="7">
        <f t="shared" ref="BG41" si="50">SUM(BG37:BG40)</f>
        <v>0</v>
      </c>
      <c r="BH41" s="7">
        <f t="shared" ref="BH41" si="51">SUM(BH37:BH40)</f>
        <v>0</v>
      </c>
      <c r="BI41" s="7">
        <f t="shared" ref="BI41" si="52">SUM(BI37:BI40)</f>
        <v>0</v>
      </c>
      <c r="BO41" s="7" t="s">
        <v>138</v>
      </c>
      <c r="BP41" s="7">
        <f>SUM(BP37:BP40)</f>
        <v>0</v>
      </c>
      <c r="BQ41" s="7">
        <f t="shared" ref="BQ41" si="53">SUM(BQ37:BQ40)</f>
        <v>0</v>
      </c>
      <c r="BR41" s="7">
        <f t="shared" ref="BR41" si="54">SUM(BR37:BR40)</f>
        <v>0</v>
      </c>
      <c r="BS41" s="7">
        <f t="shared" ref="BS41" si="55">SUM(BS37:BS40)</f>
        <v>0</v>
      </c>
      <c r="BT41" s="7">
        <f t="shared" ref="BT41" si="56">SUM(BT37:BT40)</f>
        <v>0</v>
      </c>
      <c r="BZ41" s="7" t="s">
        <v>138</v>
      </c>
      <c r="CA41" s="7">
        <f>SUM(CA37:CA40)</f>
        <v>0</v>
      </c>
      <c r="CB41" s="7">
        <f t="shared" ref="CB41" si="57">SUM(CB37:CB40)</f>
        <v>0</v>
      </c>
      <c r="CC41" s="7">
        <f t="shared" ref="CC41" si="58">SUM(CC37:CC40)</f>
        <v>0</v>
      </c>
      <c r="CD41" s="7">
        <f t="shared" ref="CD41" si="59">SUM(CD37:CD40)</f>
        <v>0</v>
      </c>
      <c r="CE41" s="7">
        <f t="shared" ref="CE41" si="60">SUM(CE37:CE40)</f>
        <v>0</v>
      </c>
    </row>
    <row r="42" spans="1:87" s="3" customFormat="1" ht="6.75" customHeight="1" x14ac:dyDescent="0.25"/>
    <row r="43" spans="1:87" x14ac:dyDescent="0.25">
      <c r="A43" s="56" t="s">
        <v>122</v>
      </c>
      <c r="B43" s="58"/>
      <c r="C43" s="58"/>
      <c r="D43" s="58"/>
    </row>
    <row r="44" spans="1:87" ht="15.75" thickBot="1" x14ac:dyDescent="0.3">
      <c r="A44" s="58"/>
      <c r="B44" s="58"/>
      <c r="C44" s="58"/>
      <c r="D44" s="58"/>
    </row>
    <row r="45" spans="1:87" ht="15.75" thickBot="1" x14ac:dyDescent="0.3">
      <c r="A45" s="14"/>
      <c r="B45" s="10" t="s">
        <v>128</v>
      </c>
      <c r="C45" s="11" t="s">
        <v>84</v>
      </c>
      <c r="D45" s="11" t="s">
        <v>181</v>
      </c>
      <c r="E45" s="11" t="s">
        <v>175</v>
      </c>
      <c r="F45" s="11" t="s">
        <v>183</v>
      </c>
      <c r="G45" s="11" t="s">
        <v>177</v>
      </c>
      <c r="H45" s="11" t="s">
        <v>178</v>
      </c>
      <c r="I45" s="12" t="s">
        <v>179</v>
      </c>
      <c r="K45" t="s">
        <v>201</v>
      </c>
      <c r="M45">
        <f>L47</f>
        <v>27</v>
      </c>
      <c r="N45" t="s">
        <v>196</v>
      </c>
      <c r="R45" s="4" t="s">
        <v>197</v>
      </c>
      <c r="T45">
        <f>S47</f>
        <v>27</v>
      </c>
      <c r="U45" t="s">
        <v>200</v>
      </c>
    </row>
    <row r="46" spans="1:87" x14ac:dyDescent="0.25">
      <c r="A46" s="15" t="s">
        <v>123</v>
      </c>
      <c r="B46" s="53">
        <v>0.9</v>
      </c>
      <c r="C46" s="8">
        <f>COUNTIF('2024 NQ H1 Profiles MASTER'!U4:U1048576, "*Big*")</f>
        <v>34</v>
      </c>
      <c r="D46" s="8">
        <f>PERCENTILE('2024 NQ H1 Profiles MASTER'!E4:E1048576, B46)</f>
        <v>402.27499999999998</v>
      </c>
      <c r="E46" s="8">
        <f>PERCENTILE('2024 NQ H1 Profiles MASTER'!Y7:Y1048576, B46)</f>
        <v>134.75</v>
      </c>
      <c r="F46" s="8">
        <f>PERCENTILE('2024 NQ H1 Profiles MASTER'!AA7:AA1048576, B46)</f>
        <v>155</v>
      </c>
      <c r="G46" s="8">
        <f>PERCENTILE('2024 NQ H1 Profiles MASTER'!AC7:AC1048576, B46)</f>
        <v>315.25</v>
      </c>
      <c r="H46" s="8">
        <f>PERCENTILE('2024 NQ H1 Profiles MASTER'!AE7:AE1048576, B46)</f>
        <v>230.75</v>
      </c>
      <c r="I46" s="8">
        <f>PERCENTILE('2024 NQ H1 Profiles MASTER'!AG7:AG1048576, B46)</f>
        <v>84.850000000000051</v>
      </c>
      <c r="K46" t="s">
        <v>181</v>
      </c>
      <c r="L46" t="s">
        <v>191</v>
      </c>
      <c r="M46" t="s">
        <v>192</v>
      </c>
      <c r="N46" t="s">
        <v>193</v>
      </c>
      <c r="O46" t="s">
        <v>194</v>
      </c>
      <c r="P46" t="s">
        <v>195</v>
      </c>
      <c r="R46" t="s">
        <v>191</v>
      </c>
      <c r="S46" t="s">
        <v>192</v>
      </c>
      <c r="T46" t="s">
        <v>193</v>
      </c>
      <c r="U46" t="s">
        <v>194</v>
      </c>
      <c r="V46" t="s">
        <v>195</v>
      </c>
    </row>
    <row r="47" spans="1:87" x14ac:dyDescent="0.25">
      <c r="A47" s="16" t="s">
        <v>135</v>
      </c>
      <c r="B47" s="54">
        <v>0.6</v>
      </c>
      <c r="C47" s="7">
        <f>COUNTIF('2024 NQ H1 Profiles MASTER'!U4:U1048576, "*Good*")</f>
        <v>100</v>
      </c>
      <c r="D47" s="7">
        <f>PERCENTILE('2024 NQ H1 Profiles MASTER'!E4:E1048576, B47)</f>
        <v>252.7</v>
      </c>
      <c r="E47" s="7">
        <f>PERCENTILE('2024 NQ H1 Profiles MASTER'!Y7:Y1048576, B47)</f>
        <v>77</v>
      </c>
      <c r="F47" s="7">
        <f>PERCENTILE('2024 NQ H1 Profiles MASTER'!AA7:AA1048576, B47)</f>
        <v>96</v>
      </c>
      <c r="G47" s="7">
        <f>PERCENTILE('2024 NQ H1 Profiles MASTER'!AC7:AC1048576, B47)</f>
        <v>199.75</v>
      </c>
      <c r="H47" s="7">
        <f>PERCENTILE('2024 NQ H1 Profiles MASTER'!AE7:AE1048576, B47)</f>
        <v>150.25</v>
      </c>
      <c r="I47" s="7">
        <f>PERCENTILE('2024 NQ H1 Profiles MASTER'!AG7:AG1048576, B47)</f>
        <v>37</v>
      </c>
      <c r="K47" t="s">
        <v>150</v>
      </c>
      <c r="L47">
        <f>COUNTIFS('2024 NQ H1 Profiles MASTER'!U4:U1048576, "Small", '2024 NQ H1 Profiles MASTER'!Z4:Z1048576, "Small")</f>
        <v>27</v>
      </c>
      <c r="M47">
        <f>COUNTIFS('2024 NQ H1 Profiles MASTER'!U4:U1048576, "Small", '2024 NQ H1 Profiles MASTER'!AB4:AB1048576, "Small")</f>
        <v>25</v>
      </c>
      <c r="N47">
        <f>COUNTIFS('2024 NQ H1 Profiles MASTER'!U4:U1048576, "Small", '2024 NQ H1 Profiles MASTER'!AD4:AD1048576, "Small")</f>
        <v>42</v>
      </c>
      <c r="O47">
        <f>COUNTIFS('2024 NQ H1 Profiles MASTER'!U4:U1048576, "Small", '2024 NQ H1 Profiles MASTER'!AF4:AF1048576, "Small")</f>
        <v>32</v>
      </c>
      <c r="P47">
        <f>COUNTIFS('2024 NQ H1 Profiles MASTER'!U4:U1048576, "Small", '2024 NQ H1 Profiles MASTER'!AH4:AH1048576, "Small")</f>
        <v>25</v>
      </c>
      <c r="R47" t="s">
        <v>150</v>
      </c>
      <c r="S47">
        <f>COUNTIFS('2024 NQ H1 Profiles MASTER'!Z4:Z1048576, "small", '2024 NQ H1 Profiles MASTER'!AB4:AB1048576, "small")</f>
        <v>27</v>
      </c>
      <c r="T47">
        <f>COUNTIFS('2024 NQ H1 Profiles MASTER'!Z4:Z1048576, "small", '2024 NQ H1 Profiles MASTER'!AD4:AD1048576, "small")</f>
        <v>27</v>
      </c>
      <c r="U47">
        <f>COUNTIFS('2024 NQ H1 Profiles MASTER'!Z4:Z1048576, "small", '2024 NQ H1 Profiles MASTER'!AF4:AF1048576, "small")</f>
        <v>23</v>
      </c>
      <c r="V47">
        <f>COUNTIFS('2024 NQ H1 Profiles MASTER'!Z4:Z1048576, "small", '2024 NQ H1 Profiles MASTER'!AH4:AH1048576, "small")</f>
        <v>20</v>
      </c>
    </row>
    <row r="48" spans="1:87" x14ac:dyDescent="0.25">
      <c r="A48" s="16" t="s">
        <v>136</v>
      </c>
      <c r="B48" s="54"/>
      <c r="C48" s="7">
        <f>COUNTIF('2024 NQ H1 Profiles MASTER'!U4:U1048576, "*Norm*")</f>
        <v>134</v>
      </c>
      <c r="D48" s="7" t="s">
        <v>182</v>
      </c>
      <c r="E48" s="7"/>
      <c r="F48" s="7"/>
      <c r="G48" s="7"/>
      <c r="H48" s="7"/>
      <c r="I48" s="7"/>
      <c r="K48" t="s">
        <v>152</v>
      </c>
      <c r="L48">
        <f>COUNTIFS('2024 NQ H1 Profiles MASTER'!U4:U1048576, "Small", '2024 NQ H1 Profiles MASTER'!Z4:Z1048576, "Norm")</f>
        <v>26</v>
      </c>
      <c r="M48">
        <f>COUNTIFS('2024 NQ H1 Profiles MASTER'!U4:U1048576, "Small", '2024 NQ H1 Profiles MASTER'!AB4:AB1048576, "Norm")</f>
        <v>24</v>
      </c>
      <c r="N48">
        <f>COUNTIFS('2024 NQ H1 Profiles MASTER'!U4:U1048576, "Small", '2024 NQ H1 Profiles MASTER'!AD4:AD1048576, "Norm")</f>
        <v>22</v>
      </c>
      <c r="O48">
        <f>COUNTIFS('2024 NQ H1 Profiles MASTER'!U4:U1048576, "Small", '2024 NQ H1 Profiles MASTER'!AF4:AF1048576, "Norm")</f>
        <v>30</v>
      </c>
      <c r="P48">
        <f>COUNTIFS('2024 NQ H1 Profiles MASTER'!U4:U1048576, "Small", '2024 NQ H1 Profiles MASTER'!AH4:AH1048576, "Norm")</f>
        <v>22</v>
      </c>
      <c r="R48" t="s">
        <v>152</v>
      </c>
      <c r="S48">
        <f>COUNTIFS('2024 NQ H1 Profiles MASTER'!Z4:Z1048576, "Small", '2024 NQ H1 Profiles MASTER'!AB4:AB1048576, "Norm")</f>
        <v>29</v>
      </c>
      <c r="T48">
        <f>COUNTIFS('2024 NQ H1 Profiles MASTER'!Z4:Z1048576, "small", '2024 NQ H1 Profiles MASTER'!AD4:AD1048576, "Norm")</f>
        <v>25</v>
      </c>
      <c r="U48">
        <f>COUNTIFS('2024 NQ H1 Profiles MASTER'!Z4:Z1048576, "small", '2024 NQ H1 Profiles MASTER'!AF4:AF1048576, "Norm")</f>
        <v>31</v>
      </c>
      <c r="V48">
        <f>COUNTIFS('2024 NQ H1 Profiles MASTER'!Z4:Z1048576, "small", '2024 NQ H1 Profiles MASTER'!AH4:AH1048576, "norm")</f>
        <v>30</v>
      </c>
    </row>
    <row r="49" spans="1:22" ht="15.75" thickBot="1" x14ac:dyDescent="0.3">
      <c r="A49" s="17" t="s">
        <v>124</v>
      </c>
      <c r="B49" s="54">
        <v>0.2</v>
      </c>
      <c r="C49" s="7">
        <f>COUNTIF('2024 NQ H1 Profiles MASTER'!U4:U1048576, "*Small*")</f>
        <v>66</v>
      </c>
      <c r="D49" s="7">
        <f>PERCENTILE('2024 NQ H1 Profiles MASTER'!E4:E1048576, B49)</f>
        <v>157</v>
      </c>
      <c r="E49" s="7">
        <f>PERCENTILE('2024 NQ H1 Profiles MASTER'!Y7:Y1048576, B49)</f>
        <v>41.5</v>
      </c>
      <c r="F49" s="7">
        <f>PERCENTILE('2024 NQ H1 Profiles MASTER'!AA7:AA1048576, B49)</f>
        <v>57.75</v>
      </c>
      <c r="G49" s="7">
        <f>PERCENTILE('2024 NQ H1 Profiles MASTER'!AC7:AC1048576, B49)</f>
        <v>115.5</v>
      </c>
      <c r="H49" s="7">
        <f>PERCENTILE('2024 NQ H1 Profiles MASTER'!AE7:AE1048576, B49)</f>
        <v>92.75</v>
      </c>
      <c r="I49" s="7">
        <f>PERCENTILE('2024 NQ H1 Profiles MASTER'!AG7:AG1048576, B49)</f>
        <v>21.35</v>
      </c>
      <c r="K49" t="s">
        <v>151</v>
      </c>
      <c r="L49">
        <f>COUNTIFS('2024 NQ H1 Profiles MASTER'!U4:U1048576, "Small", '2024 NQ H1 Profiles MASTER'!Z4:Z1048576, "Good")</f>
        <v>9</v>
      </c>
      <c r="M49">
        <f>COUNTIFS('2024 NQ H1 Profiles MASTER'!U4:U1048576, "Small", '2024 NQ H1 Profiles MASTER'!AB4:AB1048576, "Good")</f>
        <v>15</v>
      </c>
      <c r="N49">
        <f>COUNTIFS('2024 NQ H1 Profiles MASTER'!U4:U1048576, "Small", '2024 NQ H1 Profiles MASTER'!AD4:AD1048576, "Good")</f>
        <v>0</v>
      </c>
      <c r="O49">
        <f>COUNTIFS('2024 NQ H1 Profiles MASTER'!U4:U1048576, "Small", '2024 NQ H1 Profiles MASTER'!AF4:AF1048576, "good")</f>
        <v>2</v>
      </c>
      <c r="P49">
        <f>COUNTIFS('2024 NQ H1 Profiles MASTER'!U4:U1048576, "Small", '2024 NQ H1 Profiles MASTER'!AH4:AH1048576, "good")</f>
        <v>11</v>
      </c>
      <c r="R49" t="s">
        <v>151</v>
      </c>
      <c r="S49">
        <f>COUNTIFS('2024 NQ H1 Profiles MASTER'!Z4:Z1048576, "Small", '2024 NQ H1 Profiles MASTER'!AB4:AB1048576, "Good")</f>
        <v>9</v>
      </c>
      <c r="T49">
        <f>COUNTIFS('2024 NQ H1 Profiles MASTER'!Z4:Z1048576, "small", '2024 NQ H1 Profiles MASTER'!AD4:AD1048576, "Good")</f>
        <v>10</v>
      </c>
      <c r="U49">
        <f>COUNTIFS('2024 NQ H1 Profiles MASTER'!Z4:Z1048576, "small", '2024 NQ H1 Profiles MASTER'!AF4:AF1048576, "good")</f>
        <v>10</v>
      </c>
      <c r="V49">
        <f>COUNTIFS('2024 NQ H1 Profiles MASTER'!Z4:Z1048576, "small", '2024 NQ H1 Profiles MASTER'!AH4:AH1048576, "good")</f>
        <v>10</v>
      </c>
    </row>
    <row r="50" spans="1:22" ht="15.75" thickBot="1" x14ac:dyDescent="0.3">
      <c r="K50" t="s">
        <v>149</v>
      </c>
      <c r="L50">
        <f>COUNTIFS('2024 NQ H1 Profiles MASTER'!U4:U1048576, "Small", '2024 NQ H1 Profiles MASTER'!Z4:Z1048576, "Big")</f>
        <v>2</v>
      </c>
      <c r="M50">
        <f>COUNTIFS('2024 NQ H1 Profiles MASTER'!U4:U1048576, "Small", '2024 NQ H1 Profiles MASTER'!AB4:AB1048576, "Big")</f>
        <v>0</v>
      </c>
      <c r="N50">
        <f>COUNTIFS('2024 NQ H1 Profiles MASTER'!U4:U1048576, "Small", '2024 NQ H1 Profiles MASTER'!AD4:AD1048576, "Big")</f>
        <v>0</v>
      </c>
      <c r="O50">
        <f>COUNTIFS('2024 NQ H1 Profiles MASTER'!U4:U1048576, "Small", '2024 NQ H1 Profiles MASTER'!AF4:AF1048576, "big")</f>
        <v>0</v>
      </c>
      <c r="P50">
        <f>COUNTIFS('2024 NQ H1 Profiles MASTER'!U4:U1048576, "Small", '2024 NQ H1 Profiles MASTER'!AH4:AH1048576, "big")</f>
        <v>5</v>
      </c>
      <c r="R50" t="s">
        <v>149</v>
      </c>
      <c r="S50">
        <f>COUNTIFS('2024 NQ H1 Profiles MASTER'!Z4:Z1048576, "Small", '2024 NQ H1 Profiles MASTER'!AB4:AB1048576, "Big")</f>
        <v>1</v>
      </c>
      <c r="T50">
        <f>COUNTIFS('2024 NQ H1 Profiles MASTER'!Z4:Z1048576, "small", '2024 NQ H1 Profiles MASTER'!AD4:AD1048576, "Big")</f>
        <v>4</v>
      </c>
      <c r="U50">
        <f>COUNTIFS('2024 NQ H1 Profiles MASTER'!Z4:Z1048576, "small", '2024 NQ H1 Profiles MASTER'!AF4:AF1048576, "big")</f>
        <v>2</v>
      </c>
      <c r="V50">
        <f>COUNTIFS('2024 NQ H1 Profiles MASTER'!Z4:Z1048576, "small", '2024 NQ H1 Profiles MASTER'!AH4:AH1048576, "big")</f>
        <v>6</v>
      </c>
    </row>
    <row r="51" spans="1:22" ht="15.75" thickBot="1" x14ac:dyDescent="0.3">
      <c r="A51" s="18" t="s">
        <v>190</v>
      </c>
      <c r="B51" s="10" t="s">
        <v>149</v>
      </c>
      <c r="C51" s="11" t="s">
        <v>151</v>
      </c>
      <c r="D51" s="11" t="s">
        <v>152</v>
      </c>
      <c r="E51" s="11" t="s">
        <v>150</v>
      </c>
      <c r="F51" s="12" t="s">
        <v>84</v>
      </c>
      <c r="S51">
        <f>(S49+S50)/(S47+S48)</f>
        <v>0.17857142857142858</v>
      </c>
      <c r="T51">
        <f t="shared" ref="T51:V51" si="61">(T49+T50)/(T47+T48)</f>
        <v>0.26923076923076922</v>
      </c>
      <c r="U51">
        <f t="shared" si="61"/>
        <v>0.22222222222222221</v>
      </c>
      <c r="V51">
        <f t="shared" si="61"/>
        <v>0.32</v>
      </c>
    </row>
    <row r="52" spans="1:22" x14ac:dyDescent="0.25">
      <c r="A52" s="15" t="s">
        <v>23</v>
      </c>
      <c r="B52" s="21">
        <f>COUNTIFS('2024 NQ H1 Profiles MASTER'!B4:B1048576, "*MONDAY*", '2024 NQ H1 Profiles MASTER'!U4:U1048576, "*BIG*")</f>
        <v>2</v>
      </c>
      <c r="C52" s="8">
        <f>COUNTIFS('2024 NQ H1 Profiles MASTER'!B4:B1048576, "*MONDAY*", '2024 NQ H1 Profiles MASTER'!U4:U1048576, "*GOOD*")</f>
        <v>18</v>
      </c>
      <c r="D52" s="8">
        <f>COUNTIFS('2024 NQ H1 Profiles MASTER'!B4:B1048576, "*MONDAY*", '2024 NQ H1 Profiles MASTER'!U4:U1048576, "*NORM*")</f>
        <v>29</v>
      </c>
      <c r="E52" s="19">
        <f>COUNTIFS('2024 NQ H1 Profiles MASTER'!B4:B1048576, "*MONDAY*", '2024 NQ H1 Profiles MASTER'!U4:U1048576, "*SMALL*")</f>
        <v>14</v>
      </c>
      <c r="F52" s="15">
        <f>SUM(B52:E52)</f>
        <v>63</v>
      </c>
      <c r="R52" t="s">
        <v>203</v>
      </c>
    </row>
    <row r="53" spans="1:22" x14ac:dyDescent="0.25">
      <c r="A53" s="16" t="s">
        <v>19</v>
      </c>
      <c r="B53" s="22">
        <f>COUNTIFS('2024 NQ H1 Profiles MASTER'!B4:B1048576, "*TUES*", '2024 NQ H1 Profiles MASTER'!U4:U1048576, "*BIG*")</f>
        <v>7</v>
      </c>
      <c r="C53" s="7">
        <f>COUNTIFS('2024 NQ H1 Profiles MASTER'!B4:B1048576, "*TUES*", '2024 NQ H1 Profiles MASTER'!U4:U1048576, "*GOOD*")</f>
        <v>23</v>
      </c>
      <c r="D53" s="7">
        <f>COUNTIFS('2024 NQ H1 Profiles MASTER'!B4:B1048576, "*TUES*", '2024 NQ H1 Profiles MASTER'!U4:U1048576, "*NORM*")</f>
        <v>24</v>
      </c>
      <c r="E53" s="13">
        <f>COUNTIFS('2024 NQ H1 Profiles MASTER'!B4:B1048576, "*TUES*", '2024 NQ H1 Profiles MASTER'!U4:U1048576, "*SMALL*")</f>
        <v>16</v>
      </c>
      <c r="F53" s="16">
        <f>SUM(B53:E53)</f>
        <v>70</v>
      </c>
      <c r="R53" t="s">
        <v>191</v>
      </c>
      <c r="S53" t="s">
        <v>192</v>
      </c>
      <c r="T53" t="s">
        <v>193</v>
      </c>
      <c r="U53" t="s">
        <v>194</v>
      </c>
      <c r="V53" t="s">
        <v>195</v>
      </c>
    </row>
    <row r="54" spans="1:22" x14ac:dyDescent="0.25">
      <c r="A54" s="16" t="s">
        <v>18</v>
      </c>
      <c r="B54" s="22">
        <f>COUNTIFS('2024 NQ H1 Profiles MASTER'!B4:B1048576, "*WED*", '2024 NQ H1 Profiles MASTER'!U4:U1048576, "*BIG*")</f>
        <v>6</v>
      </c>
      <c r="C54" s="7">
        <f>COUNTIFS('2024 NQ H1 Profiles MASTER'!B4:B1048576, "*WED*", '2024 NQ H1 Profiles MASTER'!U4:U1048576, "*GOOD*")</f>
        <v>22</v>
      </c>
      <c r="D54" s="7">
        <f>COUNTIFS('2024 NQ H1 Profiles MASTER'!B4:B1048576, "*WED*", '2024 NQ H1 Profiles MASTER'!U4:U1048576, "*NORM*")</f>
        <v>30</v>
      </c>
      <c r="E54" s="13">
        <f>COUNTIFS('2024 NQ H1 Profiles MASTER'!B4:B1048576, "*WED*", '2024 NQ H1 Profiles MASTER'!U4:U1048576, "*SMALL*")</f>
        <v>9</v>
      </c>
      <c r="F54" s="16">
        <f>SUM(B54:E54)</f>
        <v>67</v>
      </c>
      <c r="R54" t="s">
        <v>150</v>
      </c>
      <c r="S54">
        <f>COUNTIFS('2024 NQ H1 Profiles MASTER'!Z4:Z1048576, "*NORM*", '2024 NQ H1 Profiles MASTER'!AB4:AB1048576, "small")</f>
        <v>27</v>
      </c>
      <c r="T54">
        <f>COUNTIFS('2024 NQ H1 Profiles MASTER'!Z4:Z1048576, "*NORM*", '2024 NQ H1 Profiles MASTER'!AD4:AD1048576, "small")</f>
        <v>31</v>
      </c>
      <c r="U54">
        <f>COUNTIFS('2024 NQ H1 Profiles MASTER'!Z4:Z1048576, "*NORM*", '2024 NQ H1 Profiles MASTER'!AF4:AF1048576, "small")</f>
        <v>25</v>
      </c>
      <c r="V54">
        <f>COUNTIFS('2024 NQ H1 Profiles MASTER'!Z4:Z1048576, "*NORM*", '2024 NQ H1 Profiles MASTER'!AH4:AH1048576, "small")</f>
        <v>33</v>
      </c>
    </row>
    <row r="55" spans="1:22" x14ac:dyDescent="0.25">
      <c r="A55" s="16" t="s">
        <v>36</v>
      </c>
      <c r="B55" s="22">
        <f>COUNTIFS('2024 NQ H1 Profiles MASTER'!B4:B1048576, "*THURS*", '2024 NQ H1 Profiles MASTER'!U4:U1048576, "*BIG*")</f>
        <v>10</v>
      </c>
      <c r="C55" s="7">
        <f>COUNTIFS('2024 NQ H1 Profiles MASTER'!B4:B1048576, "*THU*", '2024 NQ H1 Profiles MASTER'!U4:U1048576, "*GOOD*")</f>
        <v>17</v>
      </c>
      <c r="D55" s="7">
        <f>COUNTIFS('2024 NQ H1 Profiles MASTER'!B4:B1048576, "*THU*", '2024 NQ H1 Profiles MASTER'!U4:U1048576, "*NORM*")</f>
        <v>24</v>
      </c>
      <c r="E55" s="13">
        <f>COUNTIFS('2024 NQ H1 Profiles MASTER'!B4:B1048576, "*THURS*", '2024 NQ H1 Profiles MASTER'!U4:U1048576, "*SMALL*")</f>
        <v>15</v>
      </c>
      <c r="F55" s="16">
        <f>SUM(B55:E55)</f>
        <v>66</v>
      </c>
      <c r="R55" t="s">
        <v>152</v>
      </c>
      <c r="S55">
        <f>COUNTIFS('2024 NQ H1 Profiles MASTER'!Z4:Z1048576, "*NORM*", '2024 NQ H1 Profiles MASTER'!AB4:AB1048576, "*NORM*")</f>
        <v>54</v>
      </c>
      <c r="T55">
        <f>COUNTIFS('2024 NQ H1 Profiles MASTER'!Z4:Z1048576, "*NORM*", '2024 NQ H1 Profiles MASTER'!AD4:AD1048576, "*NORM*")</f>
        <v>59</v>
      </c>
      <c r="U55">
        <f>COUNTIFS('2024 NQ H1 Profiles MASTER'!Z4:Z1048576, "*NORM*", '2024 NQ H1 Profiles MASTER'!AF4:AF1048576, "*NORM*")</f>
        <v>64</v>
      </c>
      <c r="V55">
        <f>COUNTIFS('2024 NQ H1 Profiles MASTER'!Z4:Z1048576, "*NORM*", '2024 NQ H1 Profiles MASTER'!AH4:AH1048576, "*NORM*")</f>
        <v>57</v>
      </c>
    </row>
    <row r="56" spans="1:22" ht="15.75" thickBot="1" x14ac:dyDescent="0.3">
      <c r="A56" s="16" t="s">
        <v>26</v>
      </c>
      <c r="B56" s="23">
        <f>COUNTIFS('2024 NQ H1 Profiles MASTER'!B4:B1048576, "*FRI*", '2024 NQ H1 Profiles MASTER'!U4:U1048576, "*BIG*")</f>
        <v>9</v>
      </c>
      <c r="C56" s="9">
        <f>COUNTIFS('2024 NQ H1 Profiles MASTER'!B4:B1048576, "*FRI*", '2024 NQ H1 Profiles MASTER'!U4:U1048576, "*GOOD*")</f>
        <v>20</v>
      </c>
      <c r="D56" s="9">
        <f>COUNTIFS('2024 NQ H1 Profiles MASTER'!B4:B1048576, "*FRI*", '2024 NQ H1 Profiles MASTER'!U4:U1048576, "*NORM*")</f>
        <v>27</v>
      </c>
      <c r="E56" s="14">
        <f>COUNTIFS('2024 NQ H1 Profiles MASTER'!B4:B1048576, "*FRI*", '2024 NQ H1 Profiles MASTER'!U4:U1048576, "*SMALL*")</f>
        <v>12</v>
      </c>
      <c r="F56" s="24">
        <f>SUM(B56:E56)</f>
        <v>68</v>
      </c>
      <c r="R56" t="s">
        <v>151</v>
      </c>
      <c r="S56">
        <f>COUNTIFS('2024 NQ H1 Profiles MASTER'!Z4:Z1048576, "*NORM*", '2024 NQ H1 Profiles MASTER'!AB4:AB1048576, "*GOOD*")</f>
        <v>46</v>
      </c>
      <c r="T56">
        <f>COUNTIFS('2024 NQ H1 Profiles MASTER'!Z4:Z1048576, "*NORM*", '2024 NQ H1 Profiles MASTER'!AD4:AD1048576, "*GOOD*")</f>
        <v>40</v>
      </c>
      <c r="U56">
        <f>COUNTIFS('2024 NQ H1 Profiles MASTER'!Z4:Z1048576, "*NORM*", '2024 NQ H1 Profiles MASTER'!AF4:AF1048576, "*GOOD*")</f>
        <v>33</v>
      </c>
      <c r="V56">
        <f>COUNTIFS('2024 NQ H1 Profiles MASTER'!Z4:Z1048576, "*NORM*", '2024 NQ H1 Profiles MASTER'!AH4:AH1048576, "*GOOD*")</f>
        <v>34</v>
      </c>
    </row>
    <row r="57" spans="1:22" ht="15.75" thickBot="1" x14ac:dyDescent="0.3">
      <c r="A57" s="17" t="s">
        <v>85</v>
      </c>
      <c r="B57" s="10">
        <f>SUM(B52:B56)</f>
        <v>34</v>
      </c>
      <c r="C57" s="11">
        <f>SUM(C52:C56)</f>
        <v>100</v>
      </c>
      <c r="D57" s="11">
        <f>SUM(D52:D56)</f>
        <v>134</v>
      </c>
      <c r="E57" s="20">
        <f>SUM(E52:E56)</f>
        <v>66</v>
      </c>
      <c r="F57" s="18">
        <f>SUM(F52:F56)</f>
        <v>334</v>
      </c>
      <c r="R57" t="s">
        <v>149</v>
      </c>
      <c r="S57">
        <f>COUNTIFS('2024 NQ H1 Profiles MASTER'!Z4:Z1048576, "*NORM*", '2024 NQ H1 Profiles MASTER'!AB4:AB1048576, "*BIG*")</f>
        <v>6</v>
      </c>
      <c r="T57">
        <f>COUNTIFS('2024 NQ H1 Profiles MASTER'!Z4:Z1048576, "*NORM*", '2024 NQ H1 Profiles MASTER'!AD4:AD1048576, "*BIG*")</f>
        <v>3</v>
      </c>
      <c r="U57">
        <f>COUNTIFS('2024 NQ H1 Profiles MASTER'!Z4:Z1048576, "*NORM*", '2024 NQ H1 Profiles MASTER'!AF4:AF1048576, "*BIG*")</f>
        <v>11</v>
      </c>
      <c r="V57">
        <f>COUNTIFS('2024 NQ H1 Profiles MASTER'!Z4:Z1048576, "*NORM*", '2024 NQ H1 Profiles MASTER'!AH4:AH1048576, "*BIG*")</f>
        <v>8</v>
      </c>
    </row>
    <row r="58" spans="1:22" ht="15.75" thickBot="1" x14ac:dyDescent="0.3">
      <c r="S58">
        <f>(S56+S57)/(S54+S55)</f>
        <v>0.64197530864197527</v>
      </c>
      <c r="T58">
        <f t="shared" ref="T58:V58" si="62">(T56+T57)/(T54+T55)</f>
        <v>0.4777777777777778</v>
      </c>
      <c r="U58">
        <f t="shared" si="62"/>
        <v>0.4943820224719101</v>
      </c>
      <c r="V58">
        <f t="shared" si="62"/>
        <v>0.46666666666666667</v>
      </c>
    </row>
    <row r="59" spans="1:22" ht="15.75" thickBot="1" x14ac:dyDescent="0.3">
      <c r="A59" s="18" t="s">
        <v>191</v>
      </c>
      <c r="B59" s="10" t="s">
        <v>149</v>
      </c>
      <c r="C59" s="11" t="s">
        <v>151</v>
      </c>
      <c r="D59" s="11" t="s">
        <v>152</v>
      </c>
      <c r="E59" s="11" t="s">
        <v>150</v>
      </c>
      <c r="F59" s="12" t="s">
        <v>84</v>
      </c>
      <c r="R59" t="s">
        <v>198</v>
      </c>
    </row>
    <row r="60" spans="1:22" x14ac:dyDescent="0.25">
      <c r="A60" s="15" t="s">
        <v>23</v>
      </c>
      <c r="B60" s="21">
        <f>COUNTIFS('2024 NQ H1 Profiles MASTER'!B4:B1048576, "*MONDAY*", '2024 NQ H1 Profiles MASTER'!Z4:Z1048576, "*BIG*")</f>
        <v>8</v>
      </c>
      <c r="C60" s="8">
        <f>COUNTIFS('2024 NQ H1 Profiles MASTER'!B4:B1048576, "*MONDAY*", '2024 NQ H1 Profiles MASTER'!Z4:Z1048576, "*GOOD*")</f>
        <v>21</v>
      </c>
      <c r="D60" s="8">
        <f>COUNTIFS('2024 NQ H1 Profiles MASTER'!B4:B1048576, "*MONDAY*", '2024 NQ H1 Profiles MASTER'!Z4:Z1048576, "*NORM*")</f>
        <v>29</v>
      </c>
      <c r="E60" s="19">
        <f>COUNTIFS('2024 NQ H1 Profiles MASTER'!B4:B1048576, "*MONDAY*", '2024 NQ H1 Profiles MASTER'!Z4:Z1048576, "*SMALL*")</f>
        <v>5</v>
      </c>
      <c r="F60" s="15">
        <f>SUM(B60:E60)</f>
        <v>63</v>
      </c>
      <c r="R60" t="s">
        <v>191</v>
      </c>
      <c r="S60" t="s">
        <v>192</v>
      </c>
      <c r="T60" t="s">
        <v>193</v>
      </c>
      <c r="U60" t="s">
        <v>194</v>
      </c>
      <c r="V60" t="s">
        <v>195</v>
      </c>
    </row>
    <row r="61" spans="1:22" x14ac:dyDescent="0.25">
      <c r="A61" s="16" t="s">
        <v>19</v>
      </c>
      <c r="B61" s="22">
        <f>COUNTIFS('2024 NQ H1 Profiles MASTER'!B4:B1048576, "*TUES*", '2024 NQ H1 Profiles MASTER'!Z4:Z1048576, "*BIG*")</f>
        <v>4</v>
      </c>
      <c r="C61" s="7">
        <f>COUNTIFS('2024 NQ H1 Profiles MASTER'!B4:B1048576, "*TUES*", '2024 NQ H1 Profiles MASTER'!Z4:Z1048576, "*GOOD*")</f>
        <v>21</v>
      </c>
      <c r="D61" s="7">
        <f>COUNTIFS('2024 NQ H1 Profiles MASTER'!B4:B1048576, "*TUES*", '2024 NQ H1 Profiles MASTER'!Z4:Z1048576, "*NORM*")</f>
        <v>24</v>
      </c>
      <c r="E61" s="13">
        <f>COUNTIFS('2024 NQ H1 Profiles MASTER'!B4:B1048576, "*TUES*", '2024 NQ H1 Profiles MASTER'!Z4:Z1048576, "*SMALL*")</f>
        <v>20</v>
      </c>
      <c r="F61" s="16">
        <f>SUM(B61:E61)</f>
        <v>69</v>
      </c>
      <c r="R61" t="s">
        <v>150</v>
      </c>
      <c r="S61">
        <f>COUNTIFS('2024 NQ H1 Profiles MASTER'!Z4:Z1048576, "Good", '2024 NQ H1 Profiles MASTER'!AB4:AB1048576, "small")</f>
        <v>10</v>
      </c>
      <c r="T61">
        <f>COUNTIFS('2024 NQ H1 Profiles MASTER'!Z4:Z1048576, "*GOOD*", '2024 NQ H1 Profiles MASTER'!AD4:AD1048576, "small")</f>
        <v>6</v>
      </c>
      <c r="U61">
        <f>COUNTIFS('2024 NQ H1 Profiles MASTER'!Z4:Z1048576, "*GOOD*", '2024 NQ H1 Profiles MASTER'!AF4:AF1048576, "small")</f>
        <v>16</v>
      </c>
      <c r="V61">
        <f>COUNTIFS('2024 NQ H1 Profiles MASTER'!Z4:Z1048576, "*GOOD*", '2024 NQ H1 Profiles MASTER'!AH4:AH1048576, "small")</f>
        <v>11</v>
      </c>
    </row>
    <row r="62" spans="1:22" x14ac:dyDescent="0.25">
      <c r="A62" s="16" t="s">
        <v>18</v>
      </c>
      <c r="B62" s="22">
        <f>COUNTIFS('2024 NQ H1 Profiles MASTER'!B4:B1048576, "*WED*", '2024 NQ H1 Profiles MASTER'!AB4:AB1048576, "*BIG*")</f>
        <v>4</v>
      </c>
      <c r="C62" s="7">
        <f>COUNTIFS('2024 NQ H1 Profiles MASTER'!B4:B1048576, "*WED*", '2024 NQ H1 Profiles MASTER'!AB4:AB1048576, "*GOOD*")</f>
        <v>14</v>
      </c>
      <c r="D62" s="7">
        <f>COUNTIFS('2024 NQ H1 Profiles MASTER'!B4:B1048576, "*WED*", '2024 NQ H1 Profiles MASTER'!AB4:AB1048576, "*NORM*")</f>
        <v>39</v>
      </c>
      <c r="E62" s="13">
        <f>COUNTIFS('2024 NQ H1 Profiles MASTER'!B4:B1048576, "*WED*", '2024 NQ H1 Profiles MASTER'!AB4:AB1048576, "*SMALL*")</f>
        <v>9</v>
      </c>
      <c r="F62" s="16">
        <f>SUM(B62:E62)</f>
        <v>66</v>
      </c>
      <c r="R62" t="s">
        <v>152</v>
      </c>
      <c r="S62">
        <f>COUNTIFS('2024 NQ H1 Profiles MASTER'!Z4:Z1048576, "Good", '2024 NQ H1 Profiles MASTER'!AB4:AB1048576, "Norm")</f>
        <v>44</v>
      </c>
      <c r="T62">
        <f>COUNTIFS('2024 NQ H1 Profiles MASTER'!Z4:Z1048576, "*GOOD*", '2024 NQ H1 Profiles MASTER'!AD4:AD1048576, "*NORM*")</f>
        <v>44</v>
      </c>
      <c r="U62">
        <f>COUNTIFS('2024 NQ H1 Profiles MASTER'!Z4:Z1048576, "*GOOD*", '2024 NQ H1 Profiles MASTER'!AF4:AF1048576, "*NORM*")</f>
        <v>31</v>
      </c>
      <c r="V62">
        <f>COUNTIFS('2024 NQ H1 Profiles MASTER'!Z4:Z1048576, "*GOOD*", '2024 NQ H1 Profiles MASTER'!AH4:AH1048576, "*NORM*")</f>
        <v>36</v>
      </c>
    </row>
    <row r="63" spans="1:22" x14ac:dyDescent="0.25">
      <c r="A63" s="16" t="s">
        <v>36</v>
      </c>
      <c r="B63" s="22">
        <f>COUNTIFS('2024 NQ H1 Profiles MASTER'!B4:B1048576, "*THURS*", '2024 NQ H1 Profiles MASTER'!Z4:Z1048576, "*BIG*")</f>
        <v>7</v>
      </c>
      <c r="C63" s="7">
        <f>COUNTIFS('2024 NQ H1 Profiles MASTER'!B4:B1048576, "*THURS*", '2024 NQ H1 Profiles MASTER'!Z4:Z1048576, "*GOOD*")</f>
        <v>21</v>
      </c>
      <c r="D63" s="7">
        <f>COUNTIFS('2024 NQ H1 Profiles MASTER'!B4:B1048576, "*THURS*", '2024 NQ H1 Profiles MASTER'!Z4:Z1048576, "*NORM*")</f>
        <v>26</v>
      </c>
      <c r="E63" s="13">
        <f>COUNTIFS('2024 NQ H1 Profiles MASTER'!B4:B1048576, "*THURS*", '2024 NQ H1 Profiles MASTER'!Z4:Z1048576, "*SMALL*")</f>
        <v>11</v>
      </c>
      <c r="F63" s="16">
        <f>SUM(B63:E63)</f>
        <v>65</v>
      </c>
      <c r="R63" t="s">
        <v>151</v>
      </c>
      <c r="S63">
        <f>COUNTIFS('2024 NQ H1 Profiles MASTER'!Z4:Z1048576, "Good", '2024 NQ H1 Profiles MASTER'!AB4:AB1048576, "Good")</f>
        <v>31</v>
      </c>
      <c r="T63">
        <f>COUNTIFS('2024 NQ H1 Profiles MASTER'!Z4:Z1048576, "*GOOD*", '2024 NQ H1 Profiles MASTER'!AD4:AD1048576, "*GOOD*")</f>
        <v>36</v>
      </c>
      <c r="U63">
        <f>COUNTIFS('2024 NQ H1 Profiles MASTER'!Z4:Z1048576, "*GOOD*", '2024 NQ H1 Profiles MASTER'!AF4:AF1048576, "*GOOD*")</f>
        <v>40</v>
      </c>
      <c r="V63">
        <f>COUNTIFS('2024 NQ H1 Profiles MASTER'!Z4:Z1048576, "*GOOD*", '2024 NQ H1 Profiles MASTER'!AH4:AH1048576, "*GOOD*")</f>
        <v>39</v>
      </c>
    </row>
    <row r="64" spans="1:22" ht="15.75" thickBot="1" x14ac:dyDescent="0.3">
      <c r="A64" s="16" t="s">
        <v>26</v>
      </c>
      <c r="B64" s="23">
        <f>COUNTIFS('2024 NQ H1 Profiles MASTER'!B4:B1048576, "*FRI*", '2024 NQ H1 Profiles MASTER'!U4:U1048576, "*BIG*")</f>
        <v>9</v>
      </c>
      <c r="C64" s="9">
        <f>COUNTIFS('2024 NQ H1 Profiles MASTER'!B4:B1048576, "*FRI*", '2024 NQ H1 Profiles MASTER'!U4:U1048576, "*GOOD*")</f>
        <v>20</v>
      </c>
      <c r="D64" s="9">
        <f>COUNTIFS('2024 NQ H1 Profiles MASTER'!B4:B1048576, "*FRI*", '2024 NQ H1 Profiles MASTER'!U4:U1048576, "*NORM*")</f>
        <v>27</v>
      </c>
      <c r="E64" s="14">
        <f>COUNTIFS('2024 NQ H1 Profiles MASTER'!B4:B1048576, "*FRI*", '2024 NQ H1 Profiles MASTER'!U4:U1048576, "*SMALL*")</f>
        <v>12</v>
      </c>
      <c r="F64" s="24">
        <f>SUM(B64:E64)</f>
        <v>68</v>
      </c>
      <c r="R64" t="s">
        <v>149</v>
      </c>
      <c r="S64">
        <f>COUNTIFS('2024 NQ H1 Profiles MASTER'!Z4:Z1048576, "Good", '2024 NQ H1 Profiles MASTER'!AB4:AB1048576, "Big")</f>
        <v>14</v>
      </c>
      <c r="T64">
        <f>COUNTIFS('2024 NQ H1 Profiles MASTER'!Z4:Z1048576, "*GOOD*", '2024 NQ H1 Profiles MASTER'!AD4:AD1048576, "*BIG*")</f>
        <v>13</v>
      </c>
      <c r="U64">
        <f>COUNTIFS('2024 NQ H1 Profiles MASTER'!Z4:Z1048576, "*GOOD*", '2024 NQ H1 Profiles MASTER'!AF4:AF1048576, "*BIG*")</f>
        <v>12</v>
      </c>
      <c r="V64">
        <f>COUNTIFS('2024 NQ H1 Profiles MASTER'!Z4:Z1048576, "*GOOD*", '2024 NQ H1 Profiles MASTER'!AH4:AH1048576, "*BIG*")</f>
        <v>13</v>
      </c>
    </row>
    <row r="65" spans="1:25" ht="15.75" thickBot="1" x14ac:dyDescent="0.3">
      <c r="A65" s="17" t="s">
        <v>85</v>
      </c>
      <c r="B65" s="10">
        <f>SUM(B60:B64)</f>
        <v>32</v>
      </c>
      <c r="C65" s="11">
        <f>SUM(C60:C64)</f>
        <v>97</v>
      </c>
      <c r="D65" s="11">
        <f>SUM(D60:D64)</f>
        <v>145</v>
      </c>
      <c r="E65" s="20">
        <f>SUM(E60:E64)</f>
        <v>57</v>
      </c>
      <c r="F65" s="18">
        <f>SUM(F60:F64)</f>
        <v>331</v>
      </c>
      <c r="S65">
        <f>(S63+S64)/(S61+S62)</f>
        <v>0.83333333333333337</v>
      </c>
      <c r="T65">
        <f t="shared" ref="T65:V65" si="63">(T63+T64)/(T61+T62)</f>
        <v>0.98</v>
      </c>
      <c r="U65">
        <f t="shared" si="63"/>
        <v>1.1063829787234043</v>
      </c>
      <c r="V65">
        <f t="shared" si="63"/>
        <v>1.1063829787234043</v>
      </c>
    </row>
    <row r="66" spans="1:25" ht="15.75" thickBot="1" x14ac:dyDescent="0.3">
      <c r="K66" t="s">
        <v>202</v>
      </c>
      <c r="R66" t="s">
        <v>199</v>
      </c>
    </row>
    <row r="67" spans="1:25" ht="15.75" thickBot="1" x14ac:dyDescent="0.3">
      <c r="A67" s="18" t="s">
        <v>192</v>
      </c>
      <c r="B67" s="10" t="s">
        <v>149</v>
      </c>
      <c r="C67" s="11" t="s">
        <v>151</v>
      </c>
      <c r="D67" s="11" t="s">
        <v>152</v>
      </c>
      <c r="E67" s="11" t="s">
        <v>150</v>
      </c>
      <c r="F67" s="12" t="s">
        <v>84</v>
      </c>
      <c r="K67" t="s">
        <v>181</v>
      </c>
      <c r="L67" t="s">
        <v>191</v>
      </c>
      <c r="M67" t="s">
        <v>192</v>
      </c>
      <c r="N67" t="s">
        <v>193</v>
      </c>
      <c r="O67" t="s">
        <v>194</v>
      </c>
      <c r="P67" t="s">
        <v>195</v>
      </c>
      <c r="R67" t="s">
        <v>191</v>
      </c>
      <c r="S67" t="s">
        <v>192</v>
      </c>
      <c r="T67" t="s">
        <v>193</v>
      </c>
      <c r="U67" t="s">
        <v>194</v>
      </c>
      <c r="V67" t="s">
        <v>195</v>
      </c>
    </row>
    <row r="68" spans="1:25" x14ac:dyDescent="0.25">
      <c r="A68" s="15" t="s">
        <v>23</v>
      </c>
      <c r="B68" s="21">
        <f>COUNTIFS('2024 NQ H1 Profiles MASTER'!B4:B1048576, "*MONDAY*", '2024 NQ H1 Profiles MASTER'!AB4:AB1048576, "*BIG*")</f>
        <v>5</v>
      </c>
      <c r="C68" s="8">
        <f>COUNTIFS('2024 NQ H1 Profiles MASTER'!B4:B1048576, "*MONDAY*", '2024 NQ H1 Profiles MASTER'!AB4:AB1048576, "*GOOD*")</f>
        <v>23</v>
      </c>
      <c r="D68" s="8">
        <f>COUNTIFS('2024 NQ H1 Profiles MASTER'!B4:B1048576, "*MONDAY*", '2024 NQ H1 Profiles MASTER'!AB4:AB1048576, "*NORM*")</f>
        <v>22</v>
      </c>
      <c r="E68" s="19">
        <f>COUNTIFS('2024 NQ H1 Profiles MASTER'!B4:B1048576, "*MONDAY*", '2024 NQ H1 Profiles MASTER'!AB4:AB1048576, "*SMALL*")</f>
        <v>13</v>
      </c>
      <c r="F68" s="15">
        <f>SUM(B68:E68)</f>
        <v>63</v>
      </c>
      <c r="K68" t="s">
        <v>150</v>
      </c>
      <c r="L68">
        <f>COUNTIFS('2024 NQ H1 Profiles MASTER'!U4:U1048576, "Big", '2024 NQ H1 Profiles MASTER'!Z4:Z1048576, "Small")</f>
        <v>2</v>
      </c>
      <c r="M68">
        <f>COUNTIFS('2024 NQ H1 Profiles MASTER'!U4:U1048576, "BIG", '2024 NQ H1 Profiles MASTER'!AB4:AB1048576, "Small")</f>
        <v>4</v>
      </c>
      <c r="N68">
        <f>COUNTIFS('2024 NQ H1 Profiles MASTER'!U4:U1048576, "BIG", '2024 NQ H1 Profiles MASTER'!AD4:AD1048576, "Small")</f>
        <v>0</v>
      </c>
      <c r="O68">
        <f>COUNTIFS('2024 NQ H1 Profiles MASTER'!U4:U1048576, "BIG", '2024 NQ H1 Profiles MASTER'!AF4:AF1048576, "Small")</f>
        <v>1</v>
      </c>
      <c r="P68">
        <f>COUNTIFS('2024 NQ H1 Profiles MASTER'!U4:U1048576, "BIG", '2024 NQ H1 Profiles MASTER'!AH4:AH1048576, "Small")</f>
        <v>1</v>
      </c>
      <c r="R68" t="s">
        <v>150</v>
      </c>
      <c r="S68">
        <f>COUNTIFS('2024 NQ H1 Profiles MASTER'!Z4:Z1048576, "big", '2024 NQ H1 Profiles MASTER'!AB4:AB1048576, "small")</f>
        <v>0</v>
      </c>
      <c r="T68">
        <f>COUNTIFS('2024 NQ H1 Profiles MASTER'!Z4:Z1048576, "big", '2024 NQ H1 Profiles MASTER'!AD4:AD1048576, "small")</f>
        <v>2</v>
      </c>
      <c r="U68">
        <f>COUNTIFS('2024 NQ H1 Profiles MASTER'!Z4:Z1048576, "big", '2024 NQ H1 Profiles MASTER'!AF4:AF1048576, "small")</f>
        <v>2</v>
      </c>
      <c r="V68">
        <f>COUNTIFS('2024 NQ H1 Profiles MASTER'!Z4:Z1048576, "big", '2024 NQ H1 Profiles MASTER'!AH4:AH1048576, "small")</f>
        <v>2</v>
      </c>
    </row>
    <row r="69" spans="1:25" x14ac:dyDescent="0.25">
      <c r="A69" s="16" t="s">
        <v>19</v>
      </c>
      <c r="B69" s="22">
        <f>COUNTIFS('2024 NQ H1 Profiles MASTER'!B4:B1048576, "*TUES*", '2024 NQ H1 Profiles MASTER'!AB4:AB1048576, "*BIG*")</f>
        <v>8</v>
      </c>
      <c r="C69" s="7">
        <f>COUNTIFS('2024 NQ H1 Profiles MASTER'!B4:B1048576, "*TUES*", '2024 NQ H1 Profiles MASTER'!AB4:AB1048576, "*GOOD*")</f>
        <v>24</v>
      </c>
      <c r="D69" s="7">
        <f>COUNTIFS('2024 NQ H1 Profiles MASTER'!B4:B1048576, "*TUES*", '2024 NQ H1 Profiles MASTER'!AB4:AB1048576, "*NORM*")</f>
        <v>25</v>
      </c>
      <c r="E69" s="13">
        <f>COUNTIFS('2024 NQ H1 Profiles MASTER'!B4:B1048576, "*TUES*", '2024 NQ H1 Profiles MASTER'!AB4:AB1048576, "*SMALL*")</f>
        <v>12</v>
      </c>
      <c r="F69" s="16">
        <f>SUM(B69:E69)</f>
        <v>69</v>
      </c>
      <c r="K69" t="s">
        <v>152</v>
      </c>
      <c r="L69">
        <f>COUNTIFS('2024 NQ H1 Profiles MASTER'!U4:U1048576, "Big", '2024 NQ H1 Profiles MASTER'!Z4:Z1048576, "Norm")</f>
        <v>6</v>
      </c>
      <c r="M69">
        <f>COUNTIFS('2024 NQ H1 Profiles MASTER'!U4:U1048576, "BIG", '2024 NQ H1 Profiles MASTER'!AB4:AB1048576, "Norm")</f>
        <v>12</v>
      </c>
      <c r="N69">
        <f>COUNTIFS('2024 NQ H1 Profiles MASTER'!U4:U1048576, "BIG", '2024 NQ H1 Profiles MASTER'!AD4:AD1048576, "Norm")</f>
        <v>4</v>
      </c>
      <c r="O69">
        <f>COUNTIFS('2024 NQ H1 Profiles MASTER'!U4:U1048576, "BIG", '2024 NQ H1 Profiles MASTER'!AF4:AF1048576, "Norm")</f>
        <v>7</v>
      </c>
      <c r="P69">
        <f>COUNTIFS('2024 NQ H1 Profiles MASTER'!U4:U1048576, "BIG", '2024 NQ H1 Profiles MASTER'!AH4:AH1048576, "Norm")</f>
        <v>6</v>
      </c>
      <c r="R69" t="s">
        <v>152</v>
      </c>
      <c r="S69">
        <f>COUNTIFS('2024 NQ H1 Profiles MASTER'!Z4:Z1048576, "big", '2024 NQ H1 Profiles MASTER'!AB4:AB1048576, "norm")</f>
        <v>9</v>
      </c>
      <c r="T69">
        <f>COUNTIFS('2024 NQ H1 Profiles MASTER'!Z4:Z1048576, "big", '2024 NQ H1 Profiles MASTER'!AD4:AD1048576, "NORM")</f>
        <v>5</v>
      </c>
      <c r="U69">
        <f>COUNTIFS('2024 NQ H1 Profiles MASTER'!Z4:Z1048576, "big", '2024 NQ H1 Profiles MASTER'!AF4:AF1048576, "NORM")</f>
        <v>7</v>
      </c>
      <c r="V69">
        <f>COUNTIFS('2024 NQ H1 Profiles MASTER'!Z4:Z1048576, "big", '2024 NQ H1 Profiles MASTER'!AH4:AH1048576, "NORM")</f>
        <v>8</v>
      </c>
    </row>
    <row r="70" spans="1:25" x14ac:dyDescent="0.25">
      <c r="A70" s="16" t="s">
        <v>18</v>
      </c>
      <c r="B70" s="22">
        <f>COUNTIFS('2024 NQ H1 Profiles MASTER'!B4:B1048576, "*WED*", '2024 NQ H1 Profiles MASTER'!AB4:AB1048576, "*BIG*")</f>
        <v>4</v>
      </c>
      <c r="C70" s="7">
        <f>COUNTIFS('2024 NQ H1 Profiles MASTER'!B4:B1048576, "*WED*", '2024 NQ H1 Profiles MASTER'!AB4:AB1048576, "*GOOD*")</f>
        <v>14</v>
      </c>
      <c r="D70" s="7">
        <f>COUNTIFS('2024 NQ H1 Profiles MASTER'!B4:B1048576, "*WED*", '2024 NQ H1 Profiles MASTER'!AB4:AB1048576, "*NORM*")</f>
        <v>39</v>
      </c>
      <c r="E70" s="13">
        <f>COUNTIFS('2024 NQ H1 Profiles MASTER'!B4:B1048576, "*WED*", '2024 NQ H1 Profiles MASTER'!AB4:AB1048576, "*SMALL*")</f>
        <v>9</v>
      </c>
      <c r="F70" s="16">
        <f>SUM(B70:E70)</f>
        <v>66</v>
      </c>
      <c r="K70" t="s">
        <v>151</v>
      </c>
      <c r="L70">
        <f>COUNTIFS('2024 NQ H1 Profiles MASTER'!U4:U1048576, "Big", '2024 NQ H1 Profiles MASTER'!Z4:Z1048576, "Good")</f>
        <v>13</v>
      </c>
      <c r="M70">
        <f>COUNTIFS('2024 NQ H1 Profiles MASTER'!U4:U1048576, "BIG", '2024 NQ H1 Profiles MASTER'!AB4:AB1048576, "Good")</f>
        <v>6</v>
      </c>
      <c r="N70">
        <f>COUNTIFS('2024 NQ H1 Profiles MASTER'!U4:U1048576, "BIG", '2024 NQ H1 Profiles MASTER'!AD4:AD1048576, "Good")</f>
        <v>5</v>
      </c>
      <c r="O70">
        <f>COUNTIFS('2024 NQ H1 Profiles MASTER'!U4:U1048576, "BIG", '2024 NQ H1 Profiles MASTER'!AF4:AF1048576, "Good")</f>
        <v>10</v>
      </c>
      <c r="P70">
        <f>COUNTIFS('2024 NQ H1 Profiles MASTER'!U4:U1048576, "BIG", '2024 NQ H1 Profiles MASTER'!AH4:AH1048576, "Good")</f>
        <v>15</v>
      </c>
      <c r="R70" t="s">
        <v>151</v>
      </c>
      <c r="S70">
        <f>COUNTIFS('2024 NQ H1 Profiles MASTER'!Z4:Z1048576, "big", '2024 NQ H1 Profiles MASTER'!AB4:AB1048576, "good")</f>
        <v>12</v>
      </c>
      <c r="T70">
        <f>COUNTIFS('2024 NQ H1 Profiles MASTER'!Z4:Z1048576, "big", '2024 NQ H1 Profiles MASTER'!AD4:AD1048576, "GOOD")</f>
        <v>13</v>
      </c>
      <c r="U70">
        <f>COUNTIFS('2024 NQ H1 Profiles MASTER'!Z4:Z1048576, "big", '2024 NQ H1 Profiles MASTER'!AF4:AF1048576, "GOOD")</f>
        <v>16</v>
      </c>
      <c r="V70">
        <f>COUNTIFS('2024 NQ H1 Profiles MASTER'!Z4:Z1048576, "big", '2024 NQ H1 Profiles MASTER'!AH4:AH1048576, "GOOD")</f>
        <v>14</v>
      </c>
    </row>
    <row r="71" spans="1:25" x14ac:dyDescent="0.25">
      <c r="A71" s="16" t="s">
        <v>36</v>
      </c>
      <c r="B71" s="22">
        <f>COUNTIFS('2024 NQ H1 Profiles MASTER'!B4:B1048576, "*THURS*", '2024 NQ H1 Profiles MASTER'!AB4:AB1048576, "*BIG*")</f>
        <v>9</v>
      </c>
      <c r="C71" s="7">
        <f>COUNTIFS('2024 NQ H1 Profiles MASTER'!B4:B1048576, "*THURS*", '2024 NQ H1 Profiles MASTER'!AB4:AB1048576, "*GOOD*")</f>
        <v>19</v>
      </c>
      <c r="D71" s="7">
        <f>COUNTIFS('2024 NQ H1 Profiles MASTER'!B4:B1048576, "*THURS*", '2024 NQ H1 Profiles MASTER'!AB4:AB1048576, "*NORM*")</f>
        <v>21</v>
      </c>
      <c r="E71" s="13">
        <f>COUNTIFS('2024 NQ H1 Profiles MASTER'!B4:B1048576, "*THURS*", '2024 NQ H1 Profiles MASTER'!AB4:AB1048576, "*SMALL*")</f>
        <v>16</v>
      </c>
      <c r="F71" s="16">
        <f>SUM(B71:E71)</f>
        <v>65</v>
      </c>
      <c r="K71" t="s">
        <v>149</v>
      </c>
      <c r="L71">
        <f>COUNTIFS('2024 NQ H1 Profiles MASTER'!U4:U1048576, "Big", '2024 NQ H1 Profiles MASTER'!Z4:Z1048576, "Big")</f>
        <v>13</v>
      </c>
      <c r="M71">
        <f>COUNTIFS('2024 NQ H1 Profiles MASTER'!U4:U1048576, "BIG", '2024 NQ H1 Profiles MASTER'!AB4:AB1048576, "Big")</f>
        <v>12</v>
      </c>
      <c r="N71">
        <f>COUNTIFS('2024 NQ H1 Profiles MASTER'!U4:U1048576, "BIG", '2024 NQ H1 Profiles MASTER'!AD4:AD1048576, "Big")</f>
        <v>25</v>
      </c>
      <c r="O71">
        <f>COUNTIFS('2024 NQ H1 Profiles MASTER'!U4:U1048576, "BIG", '2024 NQ H1 Profiles MASTER'!AF4:AF1048576, "Big")</f>
        <v>16</v>
      </c>
      <c r="P71">
        <f>COUNTIFS('2024 NQ H1 Profiles MASTER'!U4:U1048576, "BIG", '2024 NQ H1 Profiles MASTER'!AH4:AH1048576, "Big")</f>
        <v>12</v>
      </c>
      <c r="R71" t="s">
        <v>149</v>
      </c>
      <c r="S71">
        <f>COUNTIFS('2024 NQ H1 Profiles MASTER'!Z4:Z1048576, "big", '2024 NQ H1 Profiles MASTER'!AB4:AB1048576, "big")</f>
        <v>12</v>
      </c>
      <c r="T71">
        <f>COUNTIFS('2024 NQ H1 Profiles MASTER'!Z4:Z1048576, "big", '2024 NQ H1 Profiles MASTER'!AD4:AD1048576, "BIG")</f>
        <v>13</v>
      </c>
      <c r="U71">
        <f>COUNTIFS('2024 NQ H1 Profiles MASTER'!Z4:Z1048576, "big", '2024 NQ H1 Profiles MASTER'!AF4:AF1048576, "BIG")</f>
        <v>8</v>
      </c>
      <c r="V71">
        <f>COUNTIFS('2024 NQ H1 Profiles MASTER'!Z4:Z1048576, "big", '2024 NQ H1 Profiles MASTER'!AH4:AH1048576, "BIG")</f>
        <v>9</v>
      </c>
    </row>
    <row r="72" spans="1:25" ht="15.75" thickBot="1" x14ac:dyDescent="0.3">
      <c r="A72" s="16" t="s">
        <v>26</v>
      </c>
      <c r="B72" s="23">
        <f>COUNTIFS('2024 NQ H1 Profiles MASTER'!B4:B1048576, "*FRI*", '2024 NQ H1 Profiles MASTER'!AB4:AB1048576, "*BIG*")</f>
        <v>7</v>
      </c>
      <c r="C72" s="9">
        <f>COUNTIFS('2024 NQ H1 Profiles MASTER'!B4:B1048576, "*FRI*", '2024 NQ H1 Profiles MASTER'!AB4:AB1048576, "*GOOD*")</f>
        <v>18</v>
      </c>
      <c r="D72" s="9">
        <f>COUNTIFS('2024 NQ H1 Profiles MASTER'!B4:B1048576, "*FRI*", '2024 NQ H1 Profiles MASTER'!AB4:AB1048576, "*NORM*")</f>
        <v>29</v>
      </c>
      <c r="E72" s="14">
        <f>COUNTIFS('2024 NQ H1 Profiles MASTER'!B4:B1048576, "*FRI*", '2024 NQ H1 Profiles MASTER'!AB4:AB1048576, "*SMALL*")</f>
        <v>14</v>
      </c>
      <c r="F72" s="24">
        <f>SUM(B72:E72)</f>
        <v>68</v>
      </c>
      <c r="S72">
        <f>(S70+S71)/(S68+S69)</f>
        <v>2.6666666666666665</v>
      </c>
      <c r="T72">
        <f t="shared" ref="T72:V72" si="64">(T70+T71)/(T68+T69)</f>
        <v>3.7142857142857144</v>
      </c>
      <c r="U72">
        <f t="shared" si="64"/>
        <v>2.6666666666666665</v>
      </c>
      <c r="V72">
        <f t="shared" si="64"/>
        <v>2.2999999999999998</v>
      </c>
    </row>
    <row r="73" spans="1:25" ht="15.75" thickBot="1" x14ac:dyDescent="0.3">
      <c r="A73" s="17" t="s">
        <v>85</v>
      </c>
      <c r="B73" s="10">
        <f>SUM(B68:B72)</f>
        <v>33</v>
      </c>
      <c r="C73" s="11">
        <f>SUM(C68:C72)</f>
        <v>98</v>
      </c>
      <c r="D73" s="11">
        <f>SUM(D68:D72)</f>
        <v>136</v>
      </c>
      <c r="E73" s="20">
        <f>SUM(E68:E72)</f>
        <v>64</v>
      </c>
      <c r="F73" s="18">
        <f>SUM(F68:F72)</f>
        <v>331</v>
      </c>
    </row>
    <row r="76" spans="1:25" s="3" customFormat="1" ht="6.75" customHeight="1" x14ac:dyDescent="0.25"/>
    <row r="77" spans="1:25" x14ac:dyDescent="0.25">
      <c r="A77" s="56" t="s">
        <v>153</v>
      </c>
      <c r="B77" s="56"/>
      <c r="C77" s="56"/>
      <c r="D77" s="56"/>
    </row>
    <row r="78" spans="1:25" ht="15.75" thickBot="1" x14ac:dyDescent="0.3">
      <c r="A78" s="56"/>
      <c r="B78" s="56"/>
      <c r="C78" s="56"/>
      <c r="D78" s="56"/>
    </row>
    <row r="79" spans="1:25" ht="15.75" thickBot="1" x14ac:dyDescent="0.3">
      <c r="B79" s="45" t="s">
        <v>28</v>
      </c>
      <c r="C79" s="38" t="s">
        <v>14</v>
      </c>
      <c r="D79" s="18" t="s">
        <v>165</v>
      </c>
      <c r="E79" s="38" t="s">
        <v>43</v>
      </c>
      <c r="F79" s="38" t="s">
        <v>46</v>
      </c>
      <c r="G79" s="18" t="s">
        <v>166</v>
      </c>
      <c r="H79" s="38" t="s">
        <v>38</v>
      </c>
      <c r="I79" s="38" t="s">
        <v>48</v>
      </c>
      <c r="J79" s="38" t="s">
        <v>57</v>
      </c>
      <c r="K79" s="38" t="s">
        <v>52</v>
      </c>
      <c r="L79" s="18" t="s">
        <v>167</v>
      </c>
      <c r="M79" s="18" t="s">
        <v>158</v>
      </c>
      <c r="R79" t="s">
        <v>28</v>
      </c>
      <c r="S79" t="s">
        <v>14</v>
      </c>
      <c r="T79" t="s">
        <v>43</v>
      </c>
      <c r="U79" t="s">
        <v>46</v>
      </c>
      <c r="V79" t="s">
        <v>38</v>
      </c>
      <c r="W79" t="s">
        <v>48</v>
      </c>
      <c r="X79" t="s">
        <v>57</v>
      </c>
      <c r="Y79" t="s">
        <v>52</v>
      </c>
    </row>
    <row r="80" spans="1:25" x14ac:dyDescent="0.25">
      <c r="A80" s="43" t="s">
        <v>154</v>
      </c>
      <c r="B80">
        <f>COUNTIFS('2024 NQ H1 Profiles MASTER'!J4:J1048576, "*ASIA XHIGH*", '2024 NQ H1 Profiles MASTER'!D4:D1048576, "2U")</f>
        <v>35</v>
      </c>
      <c r="C80">
        <f>COUNTIFS('2024 NQ H1 Profiles MASTER'!J4:J1048576, "ASIA XHIGH", '2024 NQ H1 Profiles MASTER'!D4:D1048576, "2D")</f>
        <v>2</v>
      </c>
      <c r="D80" s="31">
        <f>SUM(B80:C80)</f>
        <v>37</v>
      </c>
      <c r="E80">
        <f>COUNTIFS('2024 NQ H1 Profiles MASTER'!J4:J1048576, "*ASIA XHIGH*", '2024 NQ H1 Profiles MASTER'!D4:D1048576, "2UD")</f>
        <v>23</v>
      </c>
      <c r="F80">
        <f>COUNTIFS('2024 NQ H1 Profiles MASTER'!J4:J1048576, "ASIA XHIGH", '2024 NQ H1 Profiles MASTER'!D4:D1048576, "2DU")</f>
        <v>0</v>
      </c>
      <c r="G80" s="31">
        <f>SUM(E80:F80)</f>
        <v>23</v>
      </c>
      <c r="H80">
        <f>COUNTIFS('2024 NQ H1 Profiles MASTER'!J4:J1048576, "ASIA XHIGH", '2024 NQ H1 Profiles MASTER'!D4:D1048576, "3U")</f>
        <v>2</v>
      </c>
      <c r="I80">
        <f>COUNTIFS('2024 NQ H1 Profiles MASTER'!J4:J1048576, "ASIA XHIGH", '2024 NQ H1 Profiles MASTER'!D4:D1048576, "3D")</f>
        <v>8</v>
      </c>
      <c r="J80">
        <f>COUNTIFS('2024 NQ H1 Profiles MASTER'!J4:J1048576, "ASIA XHIGH", '2024 NQ H1 Profiles MASTER'!D4:D1048576, "3UD")</f>
        <v>1</v>
      </c>
      <c r="K80">
        <f>COUNTIFS('2024 NQ H1 Profiles MASTER'!J4:J1048576, "ASIA XHIGH", '2024 NQ H1 Profiles MASTER'!D4:D1048576, "3DU")</f>
        <v>0</v>
      </c>
      <c r="L80" s="43">
        <f>SUM(H80:K80)</f>
        <v>11</v>
      </c>
      <c r="M80" s="31">
        <f t="shared" ref="M80:M87" si="65">SUM(B80:C80, E80:F80, H80:K80)</f>
        <v>71</v>
      </c>
      <c r="Q80">
        <v>1800</v>
      </c>
      <c r="R80">
        <f>COUNTIFS('2024 NQ H1 Profiles MASTER'!F4:F1048576, "1800", '2024 NQ H1 Profiles MASTER'!D4:D1048576, "2U")</f>
        <v>13</v>
      </c>
      <c r="S80">
        <f>COUNTIFS('2024 NQ H1 Profiles MASTER'!F4:F1048576, "1800", '2024 NQ H1 Profiles MASTER'!D4:D1048576, "2D")</f>
        <v>10</v>
      </c>
      <c r="T80">
        <f>COUNTIFS('2024 NQ H1 Profiles MASTER'!F4:F1048576, "1800", '2024 NQ H1 Profiles MASTER'!D4:D1048576, "2UD")</f>
        <v>11</v>
      </c>
      <c r="U80">
        <f>COUNTIFS('2024 NQ H1 Profiles MASTER'!F4:F1048576, "1800", '2024 NQ H1 Profiles MASTER'!D4:D1048576, "2DU")</f>
        <v>2</v>
      </c>
      <c r="V80">
        <f>COUNTIFS('2024 NQ H1 Profiles MASTER'!F4:F1048576, "1800", '2024 NQ H1 Profiles MASTER'!D4:D1048576, "3U")</f>
        <v>5</v>
      </c>
      <c r="W80">
        <f>COUNTIFS('2024 NQ H1 Profiles MASTER'!F4:F1048576, "1800", '2024 NQ H1 Profiles MASTER'!D4:D1048576, "3D")</f>
        <v>4</v>
      </c>
      <c r="X80">
        <f>COUNTIFS('2024 NQ H1 Profiles MASTER'!F4:F1048576, "1800", '2024 NQ H1 Profiles MASTER'!D4:D1048576, "3UD")</f>
        <v>1</v>
      </c>
      <c r="Y80">
        <f>COUNTIFS('2024 NQ H1 Profiles MASTER'!F4:F1048576, "1800", '2024 NQ H1 Profiles MASTER'!D4:D1048576, "3DU")</f>
        <v>0</v>
      </c>
    </row>
    <row r="81" spans="1:25" x14ac:dyDescent="0.25">
      <c r="A81" s="31" t="s">
        <v>155</v>
      </c>
      <c r="B81">
        <f>COUNTIFS('2024 NQ H1 Profiles MASTER'!J4:J1048576, "ASIA XLOW", '2024 NQ H1 Profiles MASTER'!D4:D1048576, "2U")</f>
        <v>0</v>
      </c>
      <c r="C81">
        <f>COUNTIFS('2024 NQ H1 Profiles MASTER'!J4:J1048576, "ASIA XLOW", '2024 NQ H1 Profiles MASTER'!D4:D1048576, "2D")</f>
        <v>14</v>
      </c>
      <c r="D81" s="31">
        <f t="shared" ref="D81:D87" si="66">SUM(B81:C81)</f>
        <v>14</v>
      </c>
      <c r="E81">
        <f>COUNTIFS('2024 NQ H1 Profiles MASTER'!J4:J1048576, "ASIA XLOW", '2024 NQ H1 Profiles MASTER'!D4:D1048576, "2UD")</f>
        <v>0</v>
      </c>
      <c r="F81">
        <f>COUNTIFS('2024 NQ H1 Profiles MASTER'!J4:J1048576, "ASIA XLOW", '2024 NQ H1 Profiles MASTER'!D4:D1048576, "2DU")</f>
        <v>14</v>
      </c>
      <c r="G81" s="31">
        <f t="shared" ref="G81:G87" si="67">SUM(E81:F81)</f>
        <v>14</v>
      </c>
      <c r="H81">
        <f>COUNTIFS('2024 NQ H1 Profiles MASTER'!J4:J1048576, "ASIA XLOW", '2024 NQ H1 Profiles MASTER'!D4:D1048576, "3U")</f>
        <v>9</v>
      </c>
      <c r="I81">
        <f>COUNTIFS('2024 NQ H1 Profiles MASTER'!J4:J1048576, "ASIA XLOW", '2024 NQ H1 Profiles MASTER'!D4:D1048576, "3D")</f>
        <v>0</v>
      </c>
      <c r="J81">
        <f>COUNTIFS('2024 NQ H1 Profiles MASTER'!J4:J1048576, "ASIA XLOW", '2024 NQ H1 Profiles MASTER'!D4:D1048576, "3UD")</f>
        <v>0</v>
      </c>
      <c r="K81">
        <f>COUNTIFS('2024 NQ H1 Profiles MASTER'!J4:J1048576, "ASIA XLOW", '2024 NQ H1 Profiles MASTER'!D4:D1048576, "3DU")</f>
        <v>1</v>
      </c>
      <c r="L81" s="31">
        <f t="shared" ref="L81:L87" si="68">SUM(H81:K81)</f>
        <v>10</v>
      </c>
      <c r="M81" s="31">
        <f t="shared" si="65"/>
        <v>38</v>
      </c>
      <c r="Q81">
        <v>1900</v>
      </c>
      <c r="R81">
        <f>COUNTIFS('2024 NQ H1 Profiles MASTER'!F4:F1048576, "1900", '2024 NQ H1 Profiles MASTER'!D4:D1048576, "2U")</f>
        <v>5</v>
      </c>
      <c r="S81">
        <f>COUNTIFS('2024 NQ H1 Profiles MASTER'!F4:F1048576, "1900", '2024 NQ H1 Profiles MASTER'!D4:D1048576, "2D")</f>
        <v>1</v>
      </c>
      <c r="T81">
        <f>COUNTIFS('2024 NQ H1 Profiles MASTER'!F4:F1048576, "1900", '2024 NQ H1 Profiles MASTER'!D4:D1048576, "2UD")</f>
        <v>3</v>
      </c>
      <c r="U81">
        <f>COUNTIFS('2024 NQ H1 Profiles MASTER'!F4:F1048576, "1900", '2024 NQ H1 Profiles MASTER'!D4:D1048576, "2DU")</f>
        <v>0</v>
      </c>
      <c r="V81">
        <f>COUNTIFS('2024 NQ H1 Profiles MASTER'!F4:F1048576, "1900", '2024 NQ H1 Profiles MASTER'!D4:D1048576, "3U")</f>
        <v>3</v>
      </c>
      <c r="W81">
        <f>COUNTIFS('2024 NQ H1 Profiles MASTER'!F4:F1048576, "1900", '2024 NQ H1 Profiles MASTER'!D4:D1048576, "3D")</f>
        <v>2</v>
      </c>
      <c r="X81">
        <f>COUNTIFS('2024 NQ H1 Profiles MASTER'!F4:F1048576, "1900", '2024 NQ H1 Profiles MASTER'!D4:D1048576, "3UD")</f>
        <v>0</v>
      </c>
      <c r="Y81">
        <f>COUNTIFS('2024 NQ H1 Profiles MASTER'!F4:F1048576, "1900", '2024 NQ H1 Profiles MASTER'!D4:D1048576, "3DU")</f>
        <v>1</v>
      </c>
    </row>
    <row r="82" spans="1:25" x14ac:dyDescent="0.25">
      <c r="A82" s="31" t="s">
        <v>156</v>
      </c>
      <c r="B82">
        <f>COUNTIFS('2024 NQ H1 Profiles MASTER'!J4:J1048576, "*LON XHIGH*", '2024 NQ H1 Profiles MASTER'!D4:D1048576, "2u")</f>
        <v>19</v>
      </c>
      <c r="C82">
        <f>COUNTIFS('2024 NQ H1 Profiles MASTER'!J4:J1048576, "*LON XHIGH*", '2024 NQ H1 Profiles MASTER'!D4:D1048576, "2D")</f>
        <v>2</v>
      </c>
      <c r="D82" s="31">
        <f t="shared" si="66"/>
        <v>21</v>
      </c>
      <c r="E82">
        <f>COUNTIFS('2024 NQ H1 Profiles MASTER'!J4:J1048576, "*LON XHIGH*", '2024 NQ H1 Profiles MASTER'!D4:D1048576, "2UD")</f>
        <v>5</v>
      </c>
      <c r="F82">
        <f>COUNTIFS('2024 NQ H1 Profiles MASTER'!J4:J1048576, "*LON XHIGH*", '2024 NQ H1 Profiles MASTER'!D4:D1048576, "2DU")</f>
        <v>0</v>
      </c>
      <c r="G82" s="31">
        <f t="shared" si="67"/>
        <v>5</v>
      </c>
      <c r="H82">
        <f>COUNTIFS('2024 NQ H1 Profiles MASTER'!J4:J1048576, "*LON XHIGH*", '2024 NQ H1 Profiles MASTER'!D4:D1048576, "3U")</f>
        <v>0</v>
      </c>
      <c r="I82">
        <f>COUNTIFS('2024 NQ H1 Profiles MASTER'!J4:J1048576, "*LON XHIGH*", '2024 NQ H1 Profiles MASTER'!D4:D1048576, "3D")</f>
        <v>3</v>
      </c>
      <c r="J82">
        <f>COUNTIFS('2024 NQ H1 Profiles MASTER'!J4:J1048576, "*LON XHIGH*", '2024 NQ H1 Profiles MASTER'!D4:D1048576, "3UD")</f>
        <v>0</v>
      </c>
      <c r="K82">
        <f>COUNTIFS('2024 NQ H1 Profiles MASTER'!J4:J1048576, "*LON XHIGH*", '2024 NQ H1 Profiles MASTER'!D4:D1048576, "3DU")</f>
        <v>0</v>
      </c>
      <c r="L82" s="31">
        <f t="shared" si="68"/>
        <v>3</v>
      </c>
      <c r="M82" s="31">
        <f t="shared" si="65"/>
        <v>29</v>
      </c>
      <c r="Q82">
        <v>2000</v>
      </c>
      <c r="R82">
        <f>COUNTIFS('2024 NQ H1 Profiles MASTER'!F4:F1048576, "2000", '2024 NQ H1 Profiles MASTER'!D4:D1048576, "2U")</f>
        <v>4</v>
      </c>
      <c r="S82">
        <f>COUNTIFS('2024 NQ H1 Profiles MASTER'!F4:F1048576, "2000", '2024 NQ H1 Profiles MASTER'!D4:D1048576, "2D")</f>
        <v>2</v>
      </c>
      <c r="T82">
        <f>COUNTIFS('2024 NQ H1 Profiles MASTER'!F4:F1048576, "2000", '2024 NQ H1 Profiles MASTER'!D4:D1048576, "2UD")</f>
        <v>4</v>
      </c>
      <c r="U82">
        <f>COUNTIFS('2024 NQ H1 Profiles MASTER'!F4:F1048576, "2000", '2024 NQ H1 Profiles MASTER'!D4:D1048576, "2DU")</f>
        <v>6</v>
      </c>
      <c r="V82">
        <f>COUNTIFS('2024 NQ H1 Profiles MASTER'!F4:F1048576, "2000", '2024 NQ H1 Profiles MASTER'!D4:D1048576, "3U")</f>
        <v>3</v>
      </c>
      <c r="W82">
        <f>COUNTIFS('2024 NQ H1 Profiles MASTER'!F4:F1048576, "2000", '2024 NQ H1 Profiles MASTER'!D4:D1048576, "3D")</f>
        <v>0</v>
      </c>
      <c r="X82">
        <f>COUNTIFS('2024 NQ H1 Profiles MASTER'!F4:F1048576, "2000", '2024 NQ H1 Profiles MASTER'!D4:D1048576, "3UD")</f>
        <v>0</v>
      </c>
      <c r="Y82">
        <f>COUNTIFS('2024 NQ H1 Profiles MASTER'!F4:F1048576, "2000", '2024 NQ H1 Profiles MASTER'!D4:D1048576, "3DU")</f>
        <v>0</v>
      </c>
    </row>
    <row r="83" spans="1:25" x14ac:dyDescent="0.25">
      <c r="A83" s="31" t="s">
        <v>157</v>
      </c>
      <c r="B83">
        <f>COUNTIFS('2024 NQ H1 Profiles MASTER'!J4:J1048576, "*LON XLOW*", '2024 NQ H1 Profiles MASTER'!D4:D1048576, "2U")</f>
        <v>0</v>
      </c>
      <c r="C83">
        <f>COUNTIFS('2024 NQ H1 Profiles MASTER'!J4:J1048576, "*LON XLOW*", '2024 NQ H1 Profiles MASTER'!D4:D1048576, "2D")</f>
        <v>14</v>
      </c>
      <c r="D83" s="31">
        <f t="shared" si="66"/>
        <v>14</v>
      </c>
      <c r="E83">
        <f>COUNTIFS('2024 NQ H1 Profiles MASTER'!J4:J1048576, "*LON XLOW*", '2024 NQ H1 Profiles MASTER'!D4:D1048576, "2UD")</f>
        <v>1</v>
      </c>
      <c r="F83">
        <f>COUNTIFS('2024 NQ H1 Profiles MASTER'!J4:J1048576, "*LON XLOW*", '2024 NQ H1 Profiles MASTER'!D4:D1048576, "2DU")</f>
        <v>10</v>
      </c>
      <c r="G83" s="31">
        <f t="shared" si="67"/>
        <v>11</v>
      </c>
      <c r="H83">
        <f>COUNTIFS('2024 NQ H1 Profiles MASTER'!J4:J1048576, "*LON XLOW*", '2024 NQ H1 Profiles MASTER'!D4:D1048576, "3U")</f>
        <v>1</v>
      </c>
      <c r="I83">
        <f>COUNTIFS('2024 NQ H1 Profiles MASTER'!J4:J1048576, "*LON XLOW*", '2024 NQ H1 Profiles MASTER'!D4:D1048576, "3D")</f>
        <v>0</v>
      </c>
      <c r="J83">
        <f>COUNTIFS('2024 NQ H1 Profiles MASTER'!J4:J1048576, "*LON XLOW*", '2024 NQ H1 Profiles MASTER'!D4:D1048576, "3UD")</f>
        <v>0</v>
      </c>
      <c r="K83">
        <f>COUNTIFS('2024 NQ H1 Profiles MASTER'!J4:J1048576, "*LON XLOW*", '2024 NQ H1 Profiles MASTER'!D4:D1048576, "3DU")</f>
        <v>0</v>
      </c>
      <c r="L83" s="31">
        <f t="shared" si="68"/>
        <v>1</v>
      </c>
      <c r="M83" s="31">
        <f t="shared" si="65"/>
        <v>26</v>
      </c>
      <c r="Q83">
        <v>2100</v>
      </c>
      <c r="R83">
        <f>COUNTIFS('2024 NQ H1 Profiles MASTER'!F4:F1048576, "2100", '2024 NQ H1 Profiles MASTER'!D4:D1048576, "2U")</f>
        <v>2</v>
      </c>
      <c r="S83">
        <f>COUNTIFS('2024 NQ H1 Profiles MASTER'!F4:F1048576, "2100", '2024 NQ H1 Profiles MASTER'!D4:D1048576, "2D")</f>
        <v>2</v>
      </c>
      <c r="T83">
        <f>COUNTIFS('2024 NQ H1 Profiles MASTER'!F4:F1048576, "2100", '2024 NQ H1 Profiles MASTER'!D4:D1048576, "2UD")</f>
        <v>3</v>
      </c>
      <c r="U83">
        <f>COUNTIFS('2024 NQ H1 Profiles MASTER'!F4:F1048576, "2100", '2024 NQ H1 Profiles MASTER'!D4:D1048576, "2DU")</f>
        <v>1</v>
      </c>
      <c r="V83">
        <f>COUNTIFS('2024 NQ H1 Profiles MASTER'!F4:F1048576, "2100", '2024 NQ H1 Profiles MASTER'!D4:D1048576, "3U")</f>
        <v>1</v>
      </c>
      <c r="W83">
        <f>COUNTIFS('2024 NQ H1 Profiles MASTER'!F4:F1048576, "2100", '2024 NQ H1 Profiles MASTER'!D4:D1048576, "3D")</f>
        <v>3</v>
      </c>
      <c r="X83">
        <f>COUNTIFS('2024 NQ H1 Profiles MASTER'!F4:F1048576, "2100", '2024 NQ H1 Profiles MASTER'!D4:D1048576, "3UD")</f>
        <v>0</v>
      </c>
      <c r="Y83">
        <f>COUNTIFS('2024 NQ H1 Profiles MASTER'!F4:F1048576, "2100", '2024 NQ H1 Profiles MASTER'!D4:D1048576, "3DU")</f>
        <v>0</v>
      </c>
    </row>
    <row r="84" spans="1:25" x14ac:dyDescent="0.25">
      <c r="A84" s="31" t="s">
        <v>159</v>
      </c>
      <c r="B84">
        <f>COUNTIFS('2024 NQ H1 Profiles MASTER'!J4:J1048576, "*NYO XHIGH*", '2024 NQ H1 Profiles MASTER'!D4:D1048576, "2U")</f>
        <v>38</v>
      </c>
      <c r="C84">
        <f>COUNTIFS('2024 NQ H1 Profiles MASTER'!J4:J1048576, "*NYO XHIGH*", '2024 NQ H1 Profiles MASTER'!D4:D1048576, "2D")</f>
        <v>1</v>
      </c>
      <c r="D84" s="31">
        <f t="shared" si="66"/>
        <v>39</v>
      </c>
      <c r="E84">
        <f>COUNTIFS('2024 NQ H1 Profiles MASTER'!J4:J1048576, "*NYO XHIGH*", '2024 NQ H1 Profiles MASTER'!D4:D1048576, "2UD")</f>
        <v>16</v>
      </c>
      <c r="F84">
        <f>COUNTIFS('2024 NQ H1 Profiles MASTER'!J4:J1048576, "*NYO XHIGH*", '2024 NQ H1 Profiles MASTER'!D4:D1048576, "2DU")</f>
        <v>0</v>
      </c>
      <c r="G84" s="31">
        <f t="shared" si="67"/>
        <v>16</v>
      </c>
      <c r="H84">
        <f>COUNTIFS('2024 NQ H1 Profiles MASTER'!J4:J1048576, "*NYO XHIGH*", '2024 NQ H1 Profiles MASTER'!D4:D1048576, "3U")</f>
        <v>0</v>
      </c>
      <c r="I84">
        <f>COUNTIFS('2024 NQ H1 Profiles MASTER'!J4:J1048576, "*NYO XHIGH*", '2024 NQ H1 Profiles MASTER'!D4:D1048576, "3D")</f>
        <v>3</v>
      </c>
      <c r="J84">
        <f>COUNTIFS('2024 NQ H1 Profiles MASTER'!J4:J1048576, "*NYO XHIGH*", '2024 NQ H1 Profiles MASTER'!D4:D1048576, "3UD")</f>
        <v>0</v>
      </c>
      <c r="K84">
        <f>COUNTIFS('2024 NQ H1 Profiles MASTER'!J4:J1048576, "*NYO XHIGH*", '2024 NQ H1 Profiles MASTER'!D4:D1048576, "3DU")</f>
        <v>1</v>
      </c>
      <c r="L84" s="31">
        <f t="shared" si="68"/>
        <v>4</v>
      </c>
      <c r="M84" s="31">
        <f t="shared" si="65"/>
        <v>59</v>
      </c>
      <c r="Q84">
        <v>2200</v>
      </c>
      <c r="R84">
        <f>COUNTIFS('2024 NQ H1 Profiles MASTER'!F4:F1048576, "2200", '2024 NQ H1 Profiles MASTER'!D4:D1048576, "2U")</f>
        <v>4</v>
      </c>
      <c r="S84">
        <f>COUNTIFS('2024 NQ H1 Profiles MASTER'!F4:F1048576, "2200", '2024 NQ H1 Profiles MASTER'!D4:D1048576, "2D")</f>
        <v>1</v>
      </c>
      <c r="T84">
        <f>COUNTIFS('2024 NQ H1 Profiles MASTER'!F4:F1048576, "2200", '2024 NQ H1 Profiles MASTER'!D4:D1048576, "2UD")</f>
        <v>0</v>
      </c>
      <c r="U84">
        <f>COUNTIFS('2024 NQ H1 Profiles MASTER'!F4:F1048576, "2200", '2024 NQ H1 Profiles MASTER'!D4:D1048576, "2DU")</f>
        <v>2</v>
      </c>
      <c r="V84">
        <f>COUNTIFS('2024 NQ H1 Profiles MASTER'!F4:F1048576, "2200", '2024 NQ H1 Profiles MASTER'!D4:D1048576, "3U")</f>
        <v>0</v>
      </c>
      <c r="W84">
        <f>COUNTIFS('2024 NQ H1 Profiles MASTER'!F4:F1048576, "2200", '2024 NQ H1 Profiles MASTER'!D4:D1048576, "3D")</f>
        <v>0</v>
      </c>
      <c r="X84">
        <f>COUNTIFS('2024 NQ H1 Profiles MASTER'!F4:F1048576, "2200", '2024 NQ H1 Profiles MASTER'!D4:D1048576, "3UD")</f>
        <v>0</v>
      </c>
      <c r="Y84">
        <f>COUNTIFS('2024 NQ H1 Profiles MASTER'!F4:F1048576, "2200", '2024 NQ H1 Profiles MASTER'!D4:D1048576, "3DU")</f>
        <v>0</v>
      </c>
    </row>
    <row r="85" spans="1:25" x14ac:dyDescent="0.25">
      <c r="A85" s="31" t="s">
        <v>160</v>
      </c>
      <c r="B85">
        <f>COUNTIFS('2024 NQ H1 Profiles MASTER'!J4:J1048576, "*NYO XLOW*", '2024 NQ H1 Profiles MASTER'!D4:D1048576, "2U")</f>
        <v>0</v>
      </c>
      <c r="C85">
        <f>COUNTIFS('2024 NQ H1 Profiles MASTER'!J4:J1048576, "*NYO XLOW*", '2024 NQ H1 Profiles MASTER'!D4:D1048576, "2D")</f>
        <v>21</v>
      </c>
      <c r="D85" s="31">
        <f t="shared" si="66"/>
        <v>21</v>
      </c>
      <c r="E85">
        <f>COUNTIFS('2024 NQ H1 Profiles MASTER'!J4:J1048576, "*NYO XLOW*", '2024 NQ H1 Profiles MASTER'!D4:D1048576, "2UD")</f>
        <v>1</v>
      </c>
      <c r="F85">
        <f>COUNTIFS('2024 NQ H1 Profiles MASTER'!J4:J1048576, "*NYO XLOW*", '2024 NQ H1 Profiles MASTER'!D4:D1048576, "2DU")</f>
        <v>8</v>
      </c>
      <c r="G85" s="31">
        <f t="shared" si="67"/>
        <v>9</v>
      </c>
      <c r="H85">
        <f>COUNTIFS('2024 NQ H1 Profiles MASTER'!J4:J1048576, "*NYO XLOW*", '2024 NQ H1 Profiles MASTER'!D4:D1048576, "3U")</f>
        <v>3</v>
      </c>
      <c r="I85">
        <f>COUNTIFS('2024 NQ H1 Profiles MASTER'!J4:J1048576, "*NYO XLOW*", '2024 NQ H1 Profiles MASTER'!D4:D1048576, "3D")</f>
        <v>1</v>
      </c>
      <c r="J85">
        <f>COUNTIFS('2024 NQ H1 Profiles MASTER'!J4:J1048576, "*NYO XLOW*", '2024 NQ H1 Profiles MASTER'!D4:D1048576, "3UD")</f>
        <v>0</v>
      </c>
      <c r="K85">
        <f>COUNTIFS('2024 NQ H1 Profiles MASTER'!J4:J1048576, "*NYO XLOW*", '2024 NQ H1 Profiles MASTER'!D4:D1048576, "3DU")</f>
        <v>0</v>
      </c>
      <c r="L85" s="31">
        <f t="shared" si="68"/>
        <v>4</v>
      </c>
      <c r="M85" s="31">
        <f t="shared" si="65"/>
        <v>34</v>
      </c>
      <c r="Q85">
        <v>2300</v>
      </c>
      <c r="R85">
        <f>COUNTIFS('2024 NQ H1 Profiles MASTER'!F4:F1048576, "2300", '2024 NQ H1 Profiles MASTER'!D4:D1048576, "2U")</f>
        <v>2</v>
      </c>
      <c r="S85">
        <f>COUNTIFS('2024 NQ H1 Profiles MASTER'!F4:F1048576, "2300", '2024 NQ H1 Profiles MASTER'!D4:D1048576, "2D")</f>
        <v>0</v>
      </c>
      <c r="T85">
        <f>COUNTIFS('2024 NQ H1 Profiles MASTER'!F4:F1048576, "2300", '2024 NQ H1 Profiles MASTER'!D4:D1048576, "2UD")</f>
        <v>0</v>
      </c>
      <c r="U85">
        <f>COUNTIFS('2024 NQ H1 Profiles MASTER'!F4:F1048576, "2300", '2024 NQ H1 Profiles MASTER'!D4:D1048576, "2DU")</f>
        <v>1</v>
      </c>
      <c r="V85">
        <f>COUNTIFS('2024 NQ H1 Profiles MASTER'!F4:F1048576, "2300", '2024 NQ H1 Profiles MASTER'!D4:D1048576, "3U")</f>
        <v>0</v>
      </c>
      <c r="W85">
        <f>COUNTIFS('2024 NQ H1 Profiles MASTER'!F4:F1048576, "2300", '2024 NQ H1 Profiles MASTER'!D4:D1048576, "3D")</f>
        <v>0</v>
      </c>
      <c r="X85">
        <f>COUNTIFS('2024 NQ H1 Profiles MASTER'!F4:F1048576, "2300", '2024 NQ H1 Profiles MASTER'!D4:D1048576, "3UD")</f>
        <v>0</v>
      </c>
      <c r="Y85">
        <f>COUNTIFS('2024 NQ H1 Profiles MASTER'!F4:F1048576, "2300", '2024 NQ H1 Profiles MASTER'!D4:D1048576, "3DU")</f>
        <v>0</v>
      </c>
    </row>
    <row r="86" spans="1:25" x14ac:dyDescent="0.25">
      <c r="A86" s="31" t="s">
        <v>161</v>
      </c>
      <c r="B86">
        <f>COUNTIFS('2024 NQ H1 Profiles MASTER'!J4:J1048576, "*NYA XHIGH*", '2024 NQ H1 Profiles MASTER'!D4:D1048576, "2U")</f>
        <v>6</v>
      </c>
      <c r="C86">
        <f>COUNTIFS('2024 NQ H1 Profiles MASTER'!J4:J1048576, "*NYA XHIGH*", '2024 NQ H1 Profiles MASTER'!D4:D1048576, "2D")</f>
        <v>0</v>
      </c>
      <c r="D86" s="31">
        <f t="shared" si="66"/>
        <v>6</v>
      </c>
      <c r="E86">
        <f>COUNTIFS('2024 NQ H1 Profiles MASTER'!J4:J1048576, "*NYA XHIGH*", '2024 NQ H1 Profiles MASTER'!D4:D1048576, "2UD")</f>
        <v>1</v>
      </c>
      <c r="F86">
        <f>COUNTIFS('2024 NQ H1 Profiles MASTER'!J4:J1048576, "*NYA XHIGH*", '2024 NQ H1 Profiles MASTER'!D4:D1048576, "2DU")</f>
        <v>0</v>
      </c>
      <c r="G86" s="31">
        <f t="shared" si="67"/>
        <v>1</v>
      </c>
      <c r="H86">
        <f>COUNTIFS('2024 NQ H1 Profiles MASTER'!J4:J1048576, "*NYA XHIGH*", '2024 NQ H1 Profiles MASTER'!D4:D1048576, "3U")</f>
        <v>0</v>
      </c>
      <c r="I86">
        <f>COUNTIFS('2024 NQ H1 Profiles MASTER'!J4:J1048576, "*NYA XHIGH*", '2024 NQ H1 Profiles MASTER'!D4:D1048576, "3D")</f>
        <v>1</v>
      </c>
      <c r="J86">
        <f>COUNTIFS('2024 NQ H1 Profiles MASTER'!J4:J1048576, "*NYA XHIGH*", '2024 NQ H1 Profiles MASTER'!D4:D1048576, "3UD")</f>
        <v>0</v>
      </c>
      <c r="K86">
        <f>COUNTIFS('2024 NQ H1 Profiles MASTER'!J4:J1048576, "*NYA XHIGH*", '2024 NQ H1 Profiles MASTER'!D4:D1048576, "3DU")</f>
        <v>0</v>
      </c>
      <c r="L86" s="31">
        <f t="shared" si="68"/>
        <v>1</v>
      </c>
      <c r="M86" s="31">
        <f t="shared" si="65"/>
        <v>8</v>
      </c>
      <c r="Q86" t="s">
        <v>163</v>
      </c>
      <c r="R86">
        <f>COUNTIFS('2024 NQ H1 Profiles MASTER'!F4:F1048576, "M", '2024 NQ H1 Profiles MASTER'!D4:D1048576, "2U")</f>
        <v>1</v>
      </c>
      <c r="S86">
        <f>COUNTIFS('2024 NQ H1 Profiles MASTER'!F4:F1048576, "M", '2024 NQ H1 Profiles MASTER'!D4:D1048576, "2D")</f>
        <v>0</v>
      </c>
      <c r="T86">
        <f>COUNTIFS('2024 NQ H1 Profiles MASTER'!F4:F1048576, "M", '2024 NQ H1 Profiles MASTER'!D4:D1048576, "2UD")</f>
        <v>2</v>
      </c>
      <c r="U86">
        <f>COUNTIFS('2024 NQ H1 Profiles MASTER'!F4:F1048576, "M", '2024 NQ H1 Profiles MASTER'!D4:D1048576, "2DU")</f>
        <v>1</v>
      </c>
      <c r="V86">
        <f>COUNTIFS('2024 NQ H1 Profiles MASTER'!F4:F1048576, "M", '2024 NQ H1 Profiles MASTER'!D4:D1048576, "3U")</f>
        <v>0</v>
      </c>
      <c r="W86">
        <f>COUNTIFS('2024 NQ H1 Profiles MASTER'!F4:F1048576, "M", '2024 NQ H1 Profiles MASTER'!D4:D1048576, "3D")</f>
        <v>0</v>
      </c>
      <c r="X86">
        <f>COUNTIFS('2024 NQ H1 Profiles MASTER'!F4:F1048576, "M00", '2024 NQ H1 Profiles MASTER'!D4:D1048576, "3UD")</f>
        <v>0</v>
      </c>
      <c r="Y86">
        <f>COUNTIFS('2024 NQ H1 Profiles MASTER'!F4:F1048576, "M", '2024 NQ H1 Profiles MASTER'!D4:D1048576, "3DU")</f>
        <v>0</v>
      </c>
    </row>
    <row r="87" spans="1:25" ht="15.75" thickBot="1" x14ac:dyDescent="0.3">
      <c r="A87" s="44" t="s">
        <v>162</v>
      </c>
      <c r="B87">
        <f>COUNTIFS('2024 NQ H1 Profiles MASTER'!J4:J1048576, "*NYA XLOW*", '2024 NQ H1 Profiles MASTER'!D4:D1048576, "2U")</f>
        <v>0</v>
      </c>
      <c r="C87">
        <f>COUNTIFS('2024 NQ H1 Profiles MASTER'!J4:J1048576, "*NYA XLOW*", '2024 NQ H1 Profiles MASTER'!D4:D1048576, "2D")</f>
        <v>8</v>
      </c>
      <c r="D87" s="44">
        <f t="shared" si="66"/>
        <v>8</v>
      </c>
      <c r="E87">
        <f>COUNTIFS('2024 NQ H1 Profiles MASTER'!J4:J1048576, "*NYA XLOW*", '2024 NQ H1 Profiles MASTER'!D4:D1048576, "2UD")</f>
        <v>0</v>
      </c>
      <c r="F87">
        <f>COUNTIFS('2024 NQ H1 Profiles MASTER'!J4:J1048576, "*NYA XLOW*", '2024 NQ H1 Profiles MASTER'!D4:D1048576, "2DU")</f>
        <v>3</v>
      </c>
      <c r="G87" s="44">
        <f t="shared" si="67"/>
        <v>3</v>
      </c>
      <c r="H87">
        <f>COUNTIFS('2024 NQ H1 Profiles MASTER'!J4:J1048576, "*NYA XLOW*", '2024 NQ H1 Profiles MASTER'!D4:D1048576, "3U")</f>
        <v>0</v>
      </c>
      <c r="I87">
        <f>COUNTIFS('2024 NQ H1 Profiles MASTER'!J4:J1048576, "*NYA XLOW*", '2024 NQ H1 Profiles MASTER'!D4:D1048576, "3D")</f>
        <v>0</v>
      </c>
      <c r="J87">
        <f>COUNTIFS('2024 NQ H1 Profiles MASTER'!J4:J1048576, "*NYA XLOW*", '2024 NQ H1 Profiles MASTER'!D4:D1048576, "3UD")</f>
        <v>0</v>
      </c>
      <c r="K87">
        <f>COUNTIFS('2024 NQ H1 Profiles MASTER'!J4:J1048576, "*NYA XLOW*", '2024 NQ H1 Profiles MASTER'!D4:D1048576, "3DU")</f>
        <v>0</v>
      </c>
      <c r="L87" s="44">
        <f t="shared" si="68"/>
        <v>0</v>
      </c>
      <c r="M87" s="31">
        <f t="shared" si="65"/>
        <v>11</v>
      </c>
      <c r="Q87">
        <v>100</v>
      </c>
      <c r="R87">
        <f>COUNTIFS('2024 NQ H1 Profiles MASTER'!F4:F1048576, "100", '2024 NQ H1 Profiles MASTER'!D4:D1048576, "2U")</f>
        <v>2</v>
      </c>
      <c r="S87">
        <f>COUNTIFS('2024 NQ H1 Profiles MASTER'!F4:F1048576, "100", '2024 NQ H1 Profiles MASTER'!D4:D1048576, "2D")</f>
        <v>0</v>
      </c>
      <c r="T87">
        <f>COUNTIFS('2024 NQ H1 Profiles MASTER'!F4:F1048576, "100", '2024 NQ H1 Profiles MASTER'!D4:D1048576, "2UD")</f>
        <v>0</v>
      </c>
      <c r="U87">
        <f>COUNTIFS('2024 NQ H1 Profiles MASTER'!F4:F1048576, "100", '2024 NQ H1 Profiles MASTER'!D4:D1048576, "2DU")</f>
        <v>2</v>
      </c>
      <c r="V87">
        <f>COUNTIFS('2024 NQ H1 Profiles MASTER'!F4:F1048576, "100", '2024 NQ H1 Profiles MASTER'!D4:D1048576, "3U")</f>
        <v>0</v>
      </c>
      <c r="W87">
        <f>COUNTIFS('2024 NQ H1 Profiles MASTER'!F4:F1048576, "100", '2024 NQ H1 Profiles MASTER'!D4:D1048576, "3D")</f>
        <v>0</v>
      </c>
      <c r="X87">
        <f>COUNTIFS('2024 NQ H1 Profiles MASTER'!F4:F1048576, "100", '2024 NQ H1 Profiles MASTER'!D4:D1048576, "3UD")</f>
        <v>0</v>
      </c>
      <c r="Y87">
        <f>COUNTIFS('2024 NQ H1 Profiles MASTER'!F4:F1048576, "100", '2024 NQ H1 Profiles MASTER'!D4:D1048576, "3DU")</f>
        <v>0</v>
      </c>
    </row>
    <row r="88" spans="1:25" ht="15.75" thickBot="1" x14ac:dyDescent="0.3">
      <c r="D88" s="18">
        <f>SUM(D80:D87)</f>
        <v>160</v>
      </c>
      <c r="G88" s="18">
        <f>SUM(G80:G87)</f>
        <v>82</v>
      </c>
      <c r="L88" s="18">
        <f>SUM(L80:L87)</f>
        <v>34</v>
      </c>
      <c r="M88" s="18">
        <f>SUM(M80:M87)</f>
        <v>276</v>
      </c>
      <c r="N88" t="s">
        <v>168</v>
      </c>
      <c r="Q88">
        <v>200</v>
      </c>
      <c r="R88">
        <f>COUNTIFS('2024 NQ H1 Profiles MASTER'!F4:F1048576, "200", '2024 NQ H1 Profiles MASTER'!D4:D1048576, "2U")</f>
        <v>7</v>
      </c>
      <c r="S88">
        <f>COUNTIFS('2024 NQ H1 Profiles MASTER'!F4:F1048576, "200", '2024 NQ H1 Profiles MASTER'!D4:D1048576, "2D")</f>
        <v>3</v>
      </c>
      <c r="T88">
        <f>COUNTIFS('2024 NQ H1 Profiles MASTER'!F4:F1048576, "200", '2024 NQ H1 Profiles MASTER'!D4:D1048576, "2UD")</f>
        <v>0</v>
      </c>
      <c r="U88">
        <f>COUNTIFS('2024 NQ H1 Profiles MASTER'!F4:F1048576, "200", '2024 NQ H1 Profiles MASTER'!D4:D1048576, "2DU")</f>
        <v>0</v>
      </c>
      <c r="V88">
        <f>COUNTIFS('2024 NQ H1 Profiles MASTER'!F4:F1048576, "200", '2024 NQ H1 Profiles MASTER'!D4:D1048576, "3U")</f>
        <v>0</v>
      </c>
      <c r="W88">
        <f>COUNTIFS('2024 NQ H1 Profiles MASTER'!F4:F1048576, "200", '2024 NQ H1 Profiles MASTER'!D4:D1048576, "3D")</f>
        <v>1</v>
      </c>
      <c r="X88">
        <f>COUNTIFS('2024 NQ H1 Profiles MASTER'!F4:F1048576, "200", '2024 NQ H1 Profiles MASTER'!D4:D1048576, "3UD")</f>
        <v>0</v>
      </c>
      <c r="Y88">
        <f>COUNTIFS('2024 NQ H1 Profiles MASTER'!F4:F1048576, "200", '2024 NQ H1 Profiles MASTER'!D4:D1048576, "3DU")</f>
        <v>0</v>
      </c>
    </row>
    <row r="89" spans="1:25" x14ac:dyDescent="0.25">
      <c r="Q89">
        <v>300</v>
      </c>
      <c r="R89">
        <f>COUNTIFS('2024 NQ H1 Profiles MASTER'!F4:F1048576, "300", '2024 NQ H1 Profiles MASTER'!D4:D1048576, "2U")</f>
        <v>5</v>
      </c>
      <c r="S89">
        <f>COUNTIFS('2024 NQ H1 Profiles MASTER'!F4:F1048576, "300", '2024 NQ H1 Profiles MASTER'!D4:D1048576, "2D")</f>
        <v>3</v>
      </c>
      <c r="T89">
        <f>COUNTIFS('2024 NQ H1 Profiles MASTER'!F4:F1048576, "300", '2024 NQ H1 Profiles MASTER'!D4:D1048576, "2UD")</f>
        <v>5</v>
      </c>
      <c r="U89">
        <f>COUNTIFS('2024 NQ H1 Profiles MASTER'!F4:F1048576, "300", '2024 NQ H1 Profiles MASTER'!D4:D1048576, "2DU")</f>
        <v>2</v>
      </c>
      <c r="V89">
        <f>COUNTIFS('2024 NQ H1 Profiles MASTER'!F4:F1048576, "300", '2024 NQ H1 Profiles MASTER'!D4:D1048576, "3U")</f>
        <v>1</v>
      </c>
      <c r="W89">
        <f>COUNTIFS('2024 NQ H1 Profiles MASTER'!F4:F1048576, "300", '2024 NQ H1 Profiles MASTER'!D4:D1048576, "3D")</f>
        <v>0</v>
      </c>
      <c r="X89">
        <f>COUNTIFS('2024 NQ H1 Profiles MASTER'!F4:F1048576, "300", '2024 NQ H1 Profiles MASTER'!D4:D1048576, "3UD")</f>
        <v>0</v>
      </c>
      <c r="Y89">
        <f>COUNTIFS('2024 NQ H1 Profiles MASTER'!F4:F1048576, "300", '2024 NQ H1 Profiles MASTER'!D4:D1048576, "3DU")</f>
        <v>0</v>
      </c>
    </row>
    <row r="90" spans="1:25" ht="15.75" thickBot="1" x14ac:dyDescent="0.3">
      <c r="Q90">
        <v>400</v>
      </c>
      <c r="R90">
        <f>COUNTIFS('2024 NQ H1 Profiles MASTER'!F4:F1048576, "400", '2024 NQ H1 Profiles MASTER'!D4:D1048576, "2U")</f>
        <v>1</v>
      </c>
      <c r="S90">
        <f>COUNTIFS('2024 NQ H1 Profiles MASTER'!F4:F1048576, "400", '2024 NQ H1 Profiles MASTER'!D4:D1048576, "2D")</f>
        <v>3</v>
      </c>
      <c r="T90">
        <f>COUNTIFS('2024 NQ H1 Profiles MASTER'!F4:F1048576, "400", '2024 NQ H1 Profiles MASTER'!D4:D1048576, "2UD")</f>
        <v>1</v>
      </c>
      <c r="U90">
        <f>COUNTIFS('2024 NQ H1 Profiles MASTER'!F4:F1048576, "400", '2024 NQ H1 Profiles MASTER'!D4:D1048576, "2DU")</f>
        <v>4</v>
      </c>
      <c r="V90">
        <f>COUNTIFS('2024 NQ H1 Profiles MASTER'!F4:F1048576, "400", '2024 NQ H1 Profiles MASTER'!D4:D1048576, "3U")</f>
        <v>0</v>
      </c>
      <c r="W90">
        <f>COUNTIFS('2024 NQ H1 Profiles MASTER'!F4:F1048576, "400", '2024 NQ H1 Profiles MASTER'!D4:D1048576, "3D")</f>
        <v>1</v>
      </c>
      <c r="X90">
        <f>COUNTIFS('2024 NQ H1 Profiles MASTER'!F4:F1048576, "400", '2024 NQ H1 Profiles MASTER'!D4:D1048576, "3UD")</f>
        <v>0</v>
      </c>
      <c r="Y90">
        <f>COUNTIFS('2024 NQ H1 Profiles MASTER'!F4:F1048576, "400", '2024 NQ H1 Profiles MASTER'!D4:D1048576, "3DU")</f>
        <v>0</v>
      </c>
    </row>
    <row r="91" spans="1:25" x14ac:dyDescent="0.25">
      <c r="A91" t="s">
        <v>173</v>
      </c>
      <c r="B91">
        <f>SUM(R80:R87)</f>
        <v>33</v>
      </c>
      <c r="C91">
        <f>SUM(S80:S87)</f>
        <v>16</v>
      </c>
      <c r="D91" s="43">
        <f>SUM(B91:C91)</f>
        <v>49</v>
      </c>
      <c r="E91">
        <f>SUM(T80:T87)</f>
        <v>23</v>
      </c>
      <c r="F91">
        <f>SUM(U80:U87)</f>
        <v>15</v>
      </c>
      <c r="G91" s="43">
        <f>SUM(E91:F91)</f>
        <v>38</v>
      </c>
      <c r="H91">
        <f>SUM(V80:V87)</f>
        <v>12</v>
      </c>
      <c r="I91">
        <f t="shared" ref="I91:K91" si="69">SUM(W80:W87)</f>
        <v>9</v>
      </c>
      <c r="J91">
        <f t="shared" si="69"/>
        <v>1</v>
      </c>
      <c r="K91">
        <f t="shared" si="69"/>
        <v>1</v>
      </c>
      <c r="L91" s="43">
        <f>SUM(H91:K91)</f>
        <v>23</v>
      </c>
      <c r="Q91">
        <v>500</v>
      </c>
      <c r="R91">
        <f>COUNTIFS('2024 NQ H1 Profiles MASTER'!F4:F1048576, "500", '2024 NQ H1 Profiles MASTER'!D4:D1048576, "2U")</f>
        <v>1</v>
      </c>
      <c r="S91">
        <f>COUNTIFS('2024 NQ H1 Profiles MASTER'!F4:F1048576, "500", '2024 NQ H1 Profiles MASTER'!D4:D1048576, "2D")</f>
        <v>0</v>
      </c>
      <c r="T91">
        <f>COUNTIFS('2024 NQ H1 Profiles MASTER'!F4:F1048576, "500", '2024 NQ H1 Profiles MASTER'!D4:D1048576, "2UD")</f>
        <v>0</v>
      </c>
      <c r="U91">
        <f>COUNTIFS('2024 NQ H1 Profiles MASTER'!F4:F1048576, "500", '2024 NQ H1 Profiles MASTER'!D4:D1048576, "2DU")</f>
        <v>1</v>
      </c>
      <c r="V91">
        <f>COUNTIFS('2024 NQ H1 Profiles MASTER'!F4:F1048576, "500", '2024 NQ H1 Profiles MASTER'!D4:D1048576, "3U")</f>
        <v>0</v>
      </c>
      <c r="W91">
        <f>COUNTIFS('2024 NQ H1 Profiles MASTER'!F4:F1048576, "500", '2024 NQ H1 Profiles MASTER'!D4:D1048576, "3D")</f>
        <v>0</v>
      </c>
      <c r="X91">
        <f>COUNTIFS('2024 NQ H1 Profiles MASTER'!F4:F1048576, "500", '2024 NQ H1 Profiles MASTER'!D4:D1048576, "3UD")</f>
        <v>0</v>
      </c>
      <c r="Y91">
        <f>COUNTIFS('2024 NQ H1 Profiles MASTER'!F4:F1048576, "500", '2024 NQ H1 Profiles MASTER'!D4:D1048576, "3DU")</f>
        <v>0</v>
      </c>
    </row>
    <row r="92" spans="1:25" x14ac:dyDescent="0.25">
      <c r="A92" t="s">
        <v>174</v>
      </c>
      <c r="B92">
        <f>SUM(R88:R93)</f>
        <v>18</v>
      </c>
      <c r="C92">
        <f>SUM(S88:S93)</f>
        <v>16</v>
      </c>
      <c r="D92" s="31">
        <f>SUM(B92:C92)</f>
        <v>34</v>
      </c>
      <c r="E92">
        <f>SUM(T88:T93)</f>
        <v>7</v>
      </c>
      <c r="F92">
        <f>SUM(U88:U93)</f>
        <v>10</v>
      </c>
      <c r="G92" s="31">
        <f>SUM(E92:F92)</f>
        <v>17</v>
      </c>
      <c r="H92">
        <f>SUM(V88:V93)</f>
        <v>1</v>
      </c>
      <c r="I92">
        <f t="shared" ref="I92:K92" si="70">SUM(W88:W93)</f>
        <v>3</v>
      </c>
      <c r="J92">
        <f t="shared" si="70"/>
        <v>0</v>
      </c>
      <c r="K92">
        <f t="shared" si="70"/>
        <v>0</v>
      </c>
      <c r="L92" s="31">
        <f>SUM(H92:K92)</f>
        <v>4</v>
      </c>
      <c r="Q92">
        <v>600</v>
      </c>
      <c r="R92">
        <f>COUNTIFS('2024 NQ H1 Profiles MASTER'!F4:F1048576, "600", '2024 NQ H1 Profiles MASTER'!D4:D1048576, "2U")</f>
        <v>2</v>
      </c>
      <c r="S92">
        <f>COUNTIFS('2024 NQ H1 Profiles MASTER'!F4:F1048576, "600", '2024 NQ H1 Profiles MASTER'!D4:D1048576, "2D")</f>
        <v>2</v>
      </c>
      <c r="T92">
        <f>COUNTIFS('2024 NQ H1 Profiles MASTER'!F4:F1048576, "600", '2024 NQ H1 Profiles MASTER'!D4:D1048576, "2UD")</f>
        <v>0</v>
      </c>
      <c r="U92">
        <f>COUNTIFS('2024 NQ H1 Profiles MASTER'!F4:F1048576, "600", '2024 NQ H1 Profiles MASTER'!D4:D1048576, "2DU")</f>
        <v>0</v>
      </c>
      <c r="V92">
        <f>COUNTIFS('2024 NQ H1 Profiles MASTER'!F4:F1048576, "600", '2024 NQ H1 Profiles MASTER'!D4:D1048576, "3U")</f>
        <v>0</v>
      </c>
      <c r="W92">
        <f>COUNTIFS('2024 NQ H1 Profiles MASTER'!F4:F1048576, "600", '2024 NQ H1 Profiles MASTER'!D4:D1048576, "3D")</f>
        <v>0</v>
      </c>
      <c r="X92">
        <f>COUNTIFS('2024 NQ H1 Profiles MASTER'!F4:F1048576, "600", '2024 NQ H1 Profiles MASTER'!D4:D1048576, "3UD")</f>
        <v>0</v>
      </c>
      <c r="Y92">
        <f>COUNTIFS('2024 NQ H1 Profiles MASTER'!F4:F1048576, "600", '2024 NQ H1 Profiles MASTER'!D4:D1048576, "3DU")</f>
        <v>0</v>
      </c>
    </row>
    <row r="93" spans="1:25" x14ac:dyDescent="0.25">
      <c r="A93" t="s">
        <v>164</v>
      </c>
      <c r="B93">
        <f>SUM(R94:R96)</f>
        <v>36</v>
      </c>
      <c r="C93">
        <f>SUM(S94:S96)</f>
        <v>21</v>
      </c>
      <c r="D93" s="31">
        <f>SUM(B93:C93)</f>
        <v>57</v>
      </c>
      <c r="E93">
        <f>SUM(T94:T96)</f>
        <v>14</v>
      </c>
      <c r="F93">
        <f>SUM(U94:U96)</f>
        <v>7</v>
      </c>
      <c r="G93" s="31">
        <f>SUM(E93:F93)</f>
        <v>21</v>
      </c>
      <c r="H93">
        <f>SUM(V94:V96)</f>
        <v>2</v>
      </c>
      <c r="I93">
        <f>SUM(W94:W96)</f>
        <v>3</v>
      </c>
      <c r="J93">
        <f>SUM(X94:X96)</f>
        <v>0</v>
      </c>
      <c r="K93">
        <f>SUM(Y94:Y96)</f>
        <v>1</v>
      </c>
      <c r="L93" s="31">
        <f>SUM(H93:K93)</f>
        <v>6</v>
      </c>
      <c r="Q93">
        <v>700</v>
      </c>
      <c r="R93">
        <f>COUNTIFS('2024 NQ H1 Profiles MASTER'!F4:F1048576, "700", '2024 NQ H1 Profiles MASTER'!D4:D1048576, "2U")</f>
        <v>2</v>
      </c>
      <c r="S93">
        <f>COUNTIFS('2024 NQ H1 Profiles MASTER'!F4:F1048576, "700", '2024 NQ H1 Profiles MASTER'!D4:D1048576, "2D")</f>
        <v>5</v>
      </c>
      <c r="T93">
        <f>COUNTIFS('2024 NQ H1 Profiles MASTER'!F4:F1048576, "700", '2024 NQ H1 Profiles MASTER'!D4:D1048576, "2UD")</f>
        <v>1</v>
      </c>
      <c r="U93">
        <f>COUNTIFS('2024 NQ H1 Profiles MASTER'!F4:F1048576, "700", '2024 NQ H1 Profiles MASTER'!D4:D1048576, "2DU")</f>
        <v>3</v>
      </c>
      <c r="V93">
        <f>COUNTIFS('2024 NQ H1 Profiles MASTER'!F4:F1048576, "700", '2024 NQ H1 Profiles MASTER'!D4:D1048576, "3U")</f>
        <v>0</v>
      </c>
      <c r="W93">
        <f>COUNTIFS('2024 NQ H1 Profiles MASTER'!F4:F1048576, "700", '2024 NQ H1 Profiles MASTER'!D4:D1048576, "3D")</f>
        <v>1</v>
      </c>
      <c r="X93">
        <f>COUNTIFS('2024 NQ H1 Profiles MASTER'!F4:F1048576, "700", '2024 NQ H1 Profiles MASTER'!D4:D1048576, "3UD")</f>
        <v>0</v>
      </c>
      <c r="Y93">
        <f>COUNTIFS('2024 NQ H1 Profiles MASTER'!F4:F1048576, "700", '2024 NQ H1 Profiles MASTER'!D4:D1048576, "3DU")</f>
        <v>0</v>
      </c>
    </row>
    <row r="94" spans="1:25" ht="15.75" thickBot="1" x14ac:dyDescent="0.3">
      <c r="A94" t="s">
        <v>169</v>
      </c>
      <c r="B94">
        <f>SUM(R97:R101)</f>
        <v>12</v>
      </c>
      <c r="C94">
        <f>SUM(S97:S101)</f>
        <v>9</v>
      </c>
      <c r="D94" s="44">
        <f>SUM(B94:C94)</f>
        <v>21</v>
      </c>
      <c r="E94">
        <f>SUM(T97:T101)</f>
        <v>3</v>
      </c>
      <c r="F94">
        <f>SUM(U97:U101)</f>
        <v>3</v>
      </c>
      <c r="G94" s="44">
        <f>SUM(E94:F94)</f>
        <v>6</v>
      </c>
      <c r="H94">
        <f>SUM(V97:V101)</f>
        <v>0</v>
      </c>
      <c r="I94">
        <f t="shared" ref="I94:K94" si="71">SUM(W97:W101)</f>
        <v>1</v>
      </c>
      <c r="J94">
        <f t="shared" si="71"/>
        <v>0</v>
      </c>
      <c r="K94">
        <f t="shared" si="71"/>
        <v>0</v>
      </c>
      <c r="L94" s="44">
        <f>SUM(H94:K94)</f>
        <v>1</v>
      </c>
      <c r="Q94">
        <v>800</v>
      </c>
      <c r="R94">
        <f>COUNTIFS('2024 NQ H1 Profiles MASTER'!F4:F1048576, "800", '2024 NQ H1 Profiles MASTER'!D4:D1048576, "2U")</f>
        <v>8</v>
      </c>
      <c r="S94">
        <f>COUNTIFS('2024 NQ H1 Profiles MASTER'!F4:F1048576, "800", '2024 NQ H1 Profiles MASTER'!D4:D1048576, "2D")</f>
        <v>1</v>
      </c>
      <c r="T94">
        <f>COUNTIFS('2024 NQ H1 Profiles MASTER'!F4:F1048576, "800", '2024 NQ H1 Profiles MASTER'!D4:D1048576, "2UD")</f>
        <v>3</v>
      </c>
      <c r="U94">
        <f>COUNTIFS('2024 NQ H1 Profiles MASTER'!F4:F1048576, "800", '2024 NQ H1 Profiles MASTER'!D4:D1048576, "2DU")</f>
        <v>2</v>
      </c>
      <c r="V94">
        <f>COUNTIFS('2024 NQ H1 Profiles MASTER'!F4:F1048576, "800", '2024 NQ H1 Profiles MASTER'!D4:D1048576, "3U")</f>
        <v>2</v>
      </c>
      <c r="W94">
        <f>COUNTIFS('2024 NQ H1 Profiles MASTER'!F4:F1048576, "800", '2024 NQ H1 Profiles MASTER'!D4:D1048576, "3D")</f>
        <v>2</v>
      </c>
      <c r="X94">
        <f>COUNTIFS('2024 NQ H1 Profiles MASTER'!F4:F1048576, "800", '2024 NQ H1 Profiles MASTER'!D4:D1048576, "3UD")</f>
        <v>0</v>
      </c>
      <c r="Y94">
        <f>COUNTIFS('2024 NQ H1 Profiles MASTER'!F4:F1048576, "800", '2024 NQ H1 Profiles MASTER'!D4:D1048576, "3DU")</f>
        <v>0</v>
      </c>
    </row>
    <row r="95" spans="1:25" x14ac:dyDescent="0.25">
      <c r="Q95">
        <v>900</v>
      </c>
      <c r="R95">
        <f>COUNTIFS('2024 NQ H1 Profiles MASTER'!F4:F1048576, "900", '2024 NQ H1 Profiles MASTER'!D4:D1048576, "2U")</f>
        <v>19</v>
      </c>
      <c r="S95">
        <f>COUNTIFS('2024 NQ H1 Profiles MASTER'!F4:F1048576, "900", '2024 NQ H1 Profiles MASTER'!D4:D1048576, "2D")</f>
        <v>12</v>
      </c>
      <c r="T95">
        <f>COUNTIFS('2024 NQ H1 Profiles MASTER'!F4:F1048576, "900", '2024 NQ H1 Profiles MASTER'!D4:D1048576, "2UD")</f>
        <v>7</v>
      </c>
      <c r="U95">
        <f>COUNTIFS('2024 NQ H1 Profiles MASTER'!F4:F1048576, "900", '2024 NQ H1 Profiles MASTER'!D4:D1048576, "2DU")</f>
        <v>2</v>
      </c>
      <c r="V95">
        <f>COUNTIFS('2024 NQ H1 Profiles MASTER'!F4:F1048576, "900", '2024 NQ H1 Profiles MASTER'!D4:D1048576, "3U")</f>
        <v>0</v>
      </c>
      <c r="W95">
        <f>COUNTIFS('2024 NQ H1 Profiles MASTER'!F4:F1048576, "900", '2024 NQ H1 Profiles MASTER'!D4:D1048576, "3D")</f>
        <v>1</v>
      </c>
      <c r="X95">
        <f>COUNTIFS('2024 NQ H1 Profiles MASTER'!F4:F1048576, "900", '2024 NQ H1 Profiles MASTER'!D4:D1048576, "3UD")</f>
        <v>0</v>
      </c>
      <c r="Y95">
        <f>COUNTIFS('2024 NQ H1 Profiles MASTER'!F4:F1048576, "900", '2024 NQ H1 Profiles MASTER'!D4:D1048576, "3DU")</f>
        <v>1</v>
      </c>
    </row>
    <row r="96" spans="1:25" ht="15.75" thickBot="1" x14ac:dyDescent="0.3">
      <c r="B96" t="s">
        <v>170</v>
      </c>
      <c r="C96" t="s">
        <v>171</v>
      </c>
      <c r="D96" t="s">
        <v>172</v>
      </c>
      <c r="Q96">
        <v>1000</v>
      </c>
      <c r="R96">
        <f>COUNTIFS('2024 NQ H1 Profiles MASTER'!F4:F1048576, "1000", '2024 NQ H1 Profiles MASTER'!D4:D1048576, "2U")</f>
        <v>9</v>
      </c>
      <c r="S96">
        <f>COUNTIFS('2024 NQ H1 Profiles MASTER'!F4:F1048576, "1000", '2024 NQ H1 Profiles MASTER'!D4:D1048576, "2D")</f>
        <v>8</v>
      </c>
      <c r="T96">
        <f>COUNTIFS('2024 NQ H1 Profiles MASTER'!F4:F1048576, "1000", '2024 NQ H1 Profiles MASTER'!D4:D1048576, "2UD")</f>
        <v>4</v>
      </c>
      <c r="U96">
        <f>COUNTIFS('2024 NQ H1 Profiles MASTER'!F4:F1048576, "1000", '2024 NQ H1 Profiles MASTER'!D4:D1048576, "2DU")</f>
        <v>3</v>
      </c>
      <c r="V96">
        <f>COUNTIFS('2024 NQ H1 Profiles MASTER'!F4:F1048576, "1000", '2024 NQ H1 Profiles MASTER'!D4:D1048576, "3U")</f>
        <v>0</v>
      </c>
      <c r="W96">
        <f>COUNTIFS('2024 NQ H1 Profiles MASTER'!F4:F1048576, "1000", '2024 NQ H1 Profiles MASTER'!D4:D1048576, "3D")</f>
        <v>0</v>
      </c>
      <c r="X96">
        <f>COUNTIFS('2024 NQ H1 Profiles MASTER'!F4:F1048576, "1000", '2024 NQ H1 Profiles MASTER'!D4:D1048576, "3UD")</f>
        <v>0</v>
      </c>
      <c r="Y96">
        <f>COUNTIFS('2024 NQ H1 Profiles MASTER'!F4:F1048576, "1000", '2024 NQ H1 Profiles MASTER'!D4:D1048576, "3DU")</f>
        <v>0</v>
      </c>
    </row>
    <row r="97" spans="1:25" ht="15" customHeight="1" thickBot="1" x14ac:dyDescent="0.3">
      <c r="A97" s="52" t="s">
        <v>173</v>
      </c>
      <c r="B97" s="22">
        <f>D91</f>
        <v>49</v>
      </c>
      <c r="C97" s="13">
        <f>G91</f>
        <v>38</v>
      </c>
      <c r="D97" s="13">
        <f>L91</f>
        <v>23</v>
      </c>
      <c r="E97" s="46"/>
      <c r="F97" s="47">
        <f>(D97+C97)/B97</f>
        <v>1.2448979591836735</v>
      </c>
      <c r="G97" s="48"/>
      <c r="H97" s="48"/>
      <c r="Q97">
        <v>1100</v>
      </c>
      <c r="R97">
        <f>COUNTIFS('2024 NQ H1 Profiles MASTER'!F4:F1048576, "1100", '2024 NQ H1 Profiles MASTER'!D4:D1048576, "2U")</f>
        <v>4</v>
      </c>
      <c r="S97">
        <f>COUNTIFS('2024 NQ H1 Profiles MASTER'!F4:F1048576, "1100", '2024 NQ H1 Profiles MASTER'!D4:D1048576, "2D")</f>
        <v>1</v>
      </c>
      <c r="T97">
        <f>COUNTIFS('2024 NQ H1 Profiles MASTER'!F4:F1048576, "1100", '2024 NQ H1 Profiles MASTER'!D4:D1048576, "2UD")</f>
        <v>1</v>
      </c>
      <c r="U97">
        <f>COUNTIFS('2024 NQ H1 Profiles MASTER'!F4:F1048576, "1100", '2024 NQ H1 Profiles MASTER'!D4:D1048576, "2DU")</f>
        <v>0</v>
      </c>
      <c r="V97">
        <f>COUNTIFS('2024 NQ H1 Profiles MASTER'!F4:F1048576, "1100", '2024 NQ H1 Profiles MASTER'!D4:D1048576, "3U")</f>
        <v>0</v>
      </c>
      <c r="W97">
        <f>COUNTIFS('2024 NQ H1 Profiles MASTER'!F4:F1048576, "1100", '2024 NQ H1 Profiles MASTER'!D4:D1048576, "3D")</f>
        <v>0</v>
      </c>
      <c r="X97">
        <f>COUNTIFS('2024 NQ H1 Profiles MASTER'!F4:F1048576, "1100", '2024 NQ H1 Profiles MASTER'!D4:D1048576, "3UD")</f>
        <v>0</v>
      </c>
      <c r="Y97">
        <f>COUNTIFS('2024 NQ H1 Profiles MASTER'!F4:F1048576, "1100", '2024 NQ H1 Profiles MASTER'!D4:D1048576, "3DU")</f>
        <v>0</v>
      </c>
    </row>
    <row r="98" spans="1:25" ht="15.75" thickBot="1" x14ac:dyDescent="0.3">
      <c r="A98" s="51" t="s">
        <v>174</v>
      </c>
      <c r="B98" s="22">
        <f t="shared" ref="B98:B100" si="72">D92</f>
        <v>34</v>
      </c>
      <c r="C98" s="13">
        <f t="shared" ref="C98:C100" si="73">G92</f>
        <v>17</v>
      </c>
      <c r="D98" s="13">
        <f t="shared" ref="D98:D100" si="74">L92</f>
        <v>4</v>
      </c>
      <c r="E98" s="46">
        <f t="shared" ref="E98:E100" si="75">B98/(C98+D98)</f>
        <v>1.6190476190476191</v>
      </c>
      <c r="F98" s="47"/>
      <c r="G98" s="48"/>
      <c r="H98" s="48"/>
      <c r="Q98">
        <v>1200</v>
      </c>
      <c r="R98">
        <f>COUNTIFS('2024 NQ H1 Profiles MASTER'!F4:F1048576, "1200", '2024 NQ H1 Profiles MASTER'!D4:D1048576, "2U")</f>
        <v>1</v>
      </c>
      <c r="S98">
        <f>COUNTIFS('2024 NQ H1 Profiles MASTER'!F4:F1048576, "1200", '2024 NQ H1 Profiles MASTER'!D4:D1048576, "2D")</f>
        <v>3</v>
      </c>
      <c r="T98">
        <f>COUNTIFS('2024 NQ H1 Profiles MASTER'!F4:F1048576, "1200", '2024 NQ H1 Profiles MASTER'!D4:D1048576, "2UD")</f>
        <v>1</v>
      </c>
      <c r="U98">
        <f>COUNTIFS('2024 NQ H1 Profiles MASTER'!F4:F1048576, "1200", '2024 NQ H1 Profiles MASTER'!D4:D1048576, "2DU")</f>
        <v>2</v>
      </c>
      <c r="V98">
        <f>COUNTIFS('2024 NQ H1 Profiles MASTER'!F4:F1048576, "1200", '2024 NQ H1 Profiles MASTER'!D4:D1048576, "3U")</f>
        <v>0</v>
      </c>
      <c r="W98">
        <f>COUNTIFS('2024 NQ H1 Profiles MASTER'!F4:F1048576, "1200", '2024 NQ H1 Profiles MASTER'!D4:D1048576, "3D")</f>
        <v>0</v>
      </c>
      <c r="X98">
        <f>COUNTIFS('2024 NQ H1 Profiles MASTER'!F4:F1048576, "1200", '2024 NQ H1 Profiles MASTER'!D4:D1048576, "3UD")</f>
        <v>0</v>
      </c>
      <c r="Y98">
        <f>COUNTIFS('2024 NQ H1 Profiles MASTER'!F4:F1048576, "1200", '2024 NQ H1 Profiles MASTER'!D4:D1048576, "3DU")</f>
        <v>0</v>
      </c>
    </row>
    <row r="99" spans="1:25" ht="15.75" thickBot="1" x14ac:dyDescent="0.3">
      <c r="A99" s="50" t="s">
        <v>164</v>
      </c>
      <c r="B99" s="22">
        <f t="shared" si="72"/>
        <v>57</v>
      </c>
      <c r="C99" s="13">
        <f t="shared" si="73"/>
        <v>21</v>
      </c>
      <c r="D99" s="13">
        <f t="shared" si="74"/>
        <v>6</v>
      </c>
      <c r="E99" s="46">
        <f t="shared" si="75"/>
        <v>2.1111111111111112</v>
      </c>
      <c r="F99" s="47"/>
      <c r="G99" s="48"/>
      <c r="H99" s="48"/>
      <c r="Q99">
        <v>1300</v>
      </c>
      <c r="R99">
        <f>COUNTIFS('2024 NQ H1 Profiles MASTER'!F4:F1048576, "1300", '2024 NQ H1 Profiles MASTER'!D4:D1048576, "2U")</f>
        <v>3</v>
      </c>
      <c r="S99">
        <f>COUNTIFS('2024 NQ H1 Profiles MASTER'!F4:F1048576, "1300", '2024 NQ H1 Profiles MASTER'!D4:D1048576, "2D")</f>
        <v>0</v>
      </c>
      <c r="T99">
        <f>COUNTIFS('2024 NQ H1 Profiles MASTER'!F4:F1048576, "1300", '2024 NQ H1 Profiles MASTER'!D4:D1048576, "2UD")</f>
        <v>1</v>
      </c>
      <c r="U99">
        <f>COUNTIFS('2024 NQ H1 Profiles MASTER'!F4:F1048576, "1300", '2024 NQ H1 Profiles MASTER'!D4:D1048576, "2DU")</f>
        <v>0</v>
      </c>
      <c r="V99">
        <f>COUNTIFS('2024 NQ H1 Profiles MASTER'!F4:F1048576, "1300", '2024 NQ H1 Profiles MASTER'!D4:D1048576, "3U")</f>
        <v>0</v>
      </c>
      <c r="W99">
        <f>COUNTIFS('2024 NQ H1 Profiles MASTER'!F4:F1048576, "1300", '2024 NQ H1 Profiles MASTER'!D4:D1048576, "3D")</f>
        <v>0</v>
      </c>
      <c r="X99">
        <f>COUNTIFS('2024 NQ H1 Profiles MASTER'!F4:F1048576, "1300", '2024 NQ H1 Profiles MASTER'!D4:D1048576, "3UD")</f>
        <v>0</v>
      </c>
      <c r="Y99">
        <f>COUNTIFS('2024 NQ H1 Profiles MASTER'!F4:F1048576, "1300", '2024 NQ H1 Profiles MASTER'!D4:D1048576, "3DU")</f>
        <v>0</v>
      </c>
    </row>
    <row r="100" spans="1:25" ht="15.75" thickBot="1" x14ac:dyDescent="0.3">
      <c r="A100" s="49" t="s">
        <v>169</v>
      </c>
      <c r="B100" s="22">
        <f t="shared" si="72"/>
        <v>21</v>
      </c>
      <c r="C100" s="13">
        <f t="shared" si="73"/>
        <v>6</v>
      </c>
      <c r="D100" s="13">
        <f t="shared" si="74"/>
        <v>1</v>
      </c>
      <c r="E100" s="46">
        <f t="shared" si="75"/>
        <v>3</v>
      </c>
      <c r="F100" s="47"/>
      <c r="G100" s="48"/>
      <c r="H100" s="48"/>
      <c r="Q100">
        <v>1400</v>
      </c>
      <c r="R100">
        <f>COUNTIFS('2024 NQ H1 Profiles MASTER'!F4:F1048576, "1400", '2024 NQ H1 Profiles MASTER'!D4:D1048576, "2U")</f>
        <v>2</v>
      </c>
      <c r="S100">
        <f>COUNTIFS('2024 NQ H1 Profiles MASTER'!F4:F1048576, "1400", '2024 NQ H1 Profiles MASTER'!D4:D1048576, "2D")</f>
        <v>3</v>
      </c>
      <c r="T100">
        <f>COUNTIFS('2024 NQ H1 Profiles MASTER'!F4:F1048576, "1400", '2024 NQ H1 Profiles MASTER'!D4:D1048576, "2UD")</f>
        <v>0</v>
      </c>
      <c r="U100">
        <f>COUNTIFS('2024 NQ H1 Profiles MASTER'!F4:F1048576, "1400", '2024 NQ H1 Profiles MASTER'!D4:D1048576, "2DU")</f>
        <v>1</v>
      </c>
      <c r="V100">
        <f>COUNTIFS('2024 NQ H1 Profiles MASTER'!F4:F1048576, "1400", '2024 NQ H1 Profiles MASTER'!D4:D1048576, "3U")</f>
        <v>0</v>
      </c>
      <c r="W100">
        <f>COUNTIFS('2024 NQ H1 Profiles MASTER'!F4:F1048576, "1400", '2024 NQ H1 Profiles MASTER'!D4:D1048576, "3D")</f>
        <v>1</v>
      </c>
      <c r="X100">
        <f>COUNTIFS('2024 NQ H1 Profiles MASTER'!F4:F1048576, "1400", '2024 NQ H1 Profiles MASTER'!D4:D1048576, "3UD")</f>
        <v>0</v>
      </c>
      <c r="Y100">
        <f>COUNTIFS('2024 NQ H1 Profiles MASTER'!F4:F1048576, "1400", '2024 NQ H1 Profiles MASTER'!D4:D1048576, "3DU")</f>
        <v>0</v>
      </c>
    </row>
    <row r="101" spans="1:25" x14ac:dyDescent="0.25">
      <c r="Q101">
        <v>1500</v>
      </c>
      <c r="R101">
        <f>COUNTIFS('2024 NQ H1 Profiles MASTER'!F4:F1048576, "1500", '2024 NQ H1 Profiles MASTER'!D4:D1048576, "2U")</f>
        <v>2</v>
      </c>
      <c r="S101">
        <f>COUNTIFS('2024 NQ H1 Profiles MASTER'!F4:F1048576, "1500", '2024 NQ H1 Profiles MASTER'!D4:D1048576, "2D")</f>
        <v>2</v>
      </c>
      <c r="T101">
        <f>COUNTIFS('2024 NQ H1 Profiles MASTER'!F4:F1048576, "1500", '2024 NQ H1 Profiles MASTER'!D4:D1048576, "2UD")</f>
        <v>0</v>
      </c>
      <c r="U101">
        <f>COUNTIFS('2024 NQ H1 Profiles MASTER'!F4:F1048576, "1500", '2024 NQ H1 Profiles MASTER'!D4:D1048576, "2DU")</f>
        <v>0</v>
      </c>
      <c r="V101">
        <f>COUNTIFS('2024 NQ H1 Profiles MASTER'!F4:F1048576, "1500", '2024 NQ H1 Profiles MASTER'!D4:D1048576, "3U")</f>
        <v>0</v>
      </c>
      <c r="W101">
        <f>COUNTIFS('2024 NQ H1 Profiles MASTER'!F4:F1048576, "1500", '2024 NQ H1 Profiles MASTER'!D4:D1048576, "3D")</f>
        <v>0</v>
      </c>
      <c r="X101">
        <f>COUNTIFS('2024 NQ H1 Profiles MASTER'!F4:F1048576, "1500", '2024 NQ H1 Profiles MASTER'!D4:D1048576, "3UD")</f>
        <v>0</v>
      </c>
      <c r="Y101">
        <f>COUNTIFS('2024 NQ H1 Profiles MASTER'!F4:F1048576, "1500", '2024 NQ H1 Profiles MASTER'!D4:D1048576, "3DU")</f>
        <v>0</v>
      </c>
    </row>
  </sheetData>
  <mergeCells count="12">
    <mergeCell ref="A43:D44"/>
    <mergeCell ref="A77:D78"/>
    <mergeCell ref="W34:Z35"/>
    <mergeCell ref="AH34:AK35"/>
    <mergeCell ref="AS34:AV35"/>
    <mergeCell ref="K12:P13"/>
    <mergeCell ref="A34:D35"/>
    <mergeCell ref="K27:P27"/>
    <mergeCell ref="L34:O35"/>
    <mergeCell ref="BZ34:CC35"/>
    <mergeCell ref="BD34:BG35"/>
    <mergeCell ref="BO34:BR35"/>
  </mergeCells>
  <phoneticPr fontId="18" type="noConversion"/>
  <conditionalFormatting sqref="B2:B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B5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:B6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B7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2:C5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C6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C7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:D5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8:D7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6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2:E5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E6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E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7:G40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6:H49">
    <cfRule type="cellIs" dxfId="274" priority="9" operator="between">
      <formula>100</formula>
      <formula>1</formula>
    </cfRule>
    <cfRule type="cellIs" dxfId="273" priority="10" operator="greaterThan">
      <formula>300</formula>
    </cfRule>
    <cfRule type="cellIs" dxfId="272" priority="11" operator="greaterThan">
      <formula>200</formula>
    </cfRule>
    <cfRule type="cellIs" dxfId="271" priority="12" operator="greaterThan">
      <formula>100</formula>
    </cfRule>
  </conditionalFormatting>
  <conditionalFormatting sqref="G28:J2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9:J2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:J3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1:J3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:H2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7:H40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9:I2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7:I4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L2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3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L4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L5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L6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:J2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:J4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:K2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:L2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6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:Q6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:R6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7:R4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7:S4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:T40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7:U4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7:AC4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7:AD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7:AE4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37:AF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7:AN4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37:AO4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37:AP4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37:AQ4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Y37:AY4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37:AZ4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37:BA4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37:BB4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D4A3-5BE7-4871-B2C2-45F942C59A68}">
  <dimension ref="A1:X76"/>
  <sheetViews>
    <sheetView workbookViewId="0">
      <selection activeCell="B14" sqref="B14:R29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45184</v>
      </c>
      <c r="B4" t="s">
        <v>26</v>
      </c>
      <c r="C4" t="s">
        <v>13</v>
      </c>
      <c r="D4" t="s">
        <v>43</v>
      </c>
      <c r="E4">
        <v>121.5</v>
      </c>
      <c r="F4">
        <v>0</v>
      </c>
      <c r="G4">
        <v>100</v>
      </c>
      <c r="J4" t="s">
        <v>29</v>
      </c>
      <c r="K4" t="s">
        <v>16</v>
      </c>
      <c r="L4" t="s">
        <v>17</v>
      </c>
      <c r="M4" t="s">
        <v>18</v>
      </c>
      <c r="N4">
        <v>10</v>
      </c>
      <c r="O4" t="s">
        <v>67</v>
      </c>
      <c r="P4">
        <v>1400</v>
      </c>
      <c r="Q4">
        <v>1500</v>
      </c>
      <c r="R4" t="s">
        <v>20</v>
      </c>
      <c r="S4" t="s">
        <v>46</v>
      </c>
      <c r="T4">
        <v>124</v>
      </c>
      <c r="U4" t="str">
        <f>_xlfn.IFNA(_xlfn.IFS(E4&gt;Dash!$D$46, "Big", E4&lt;Dash!$D$49, "Small", E4&gt;Dash!$D$47, "Good"), "Norm")</f>
        <v>Small</v>
      </c>
      <c r="V4" t="s">
        <v>33</v>
      </c>
      <c r="W4">
        <v>180.5</v>
      </c>
      <c r="X4" t="s">
        <v>28</v>
      </c>
    </row>
    <row r="5" spans="1:24" x14ac:dyDescent="0.25">
      <c r="A5" s="1">
        <v>45233</v>
      </c>
      <c r="B5" t="s">
        <v>26</v>
      </c>
      <c r="C5" t="s">
        <v>13</v>
      </c>
      <c r="D5" t="s">
        <v>28</v>
      </c>
      <c r="E5">
        <v>288.5</v>
      </c>
      <c r="F5">
        <v>800</v>
      </c>
      <c r="J5" t="s">
        <v>27</v>
      </c>
      <c r="K5" t="s">
        <v>31</v>
      </c>
      <c r="L5" t="s">
        <v>32</v>
      </c>
      <c r="M5" t="s">
        <v>19</v>
      </c>
      <c r="N5">
        <v>13</v>
      </c>
      <c r="P5">
        <v>700</v>
      </c>
      <c r="Q5">
        <v>1500</v>
      </c>
      <c r="R5" t="s">
        <v>33</v>
      </c>
      <c r="S5" t="s">
        <v>43</v>
      </c>
      <c r="T5">
        <v>119.5</v>
      </c>
      <c r="U5" t="str">
        <f>_xlfn.IFNA(_xlfn.IFS(E5&gt;Dash!$D$46, "Big", E5&lt;Dash!$D$49, "Small", E5&gt;Dash!$D$47, "Good"), "Norm")</f>
        <v>Good</v>
      </c>
      <c r="V5" t="s">
        <v>13</v>
      </c>
      <c r="W5">
        <v>139</v>
      </c>
      <c r="X5" t="s">
        <v>28</v>
      </c>
    </row>
    <row r="6" spans="1:24" x14ac:dyDescent="0.25">
      <c r="A6" s="1">
        <v>45310</v>
      </c>
      <c r="B6" t="s">
        <v>26</v>
      </c>
      <c r="C6" t="s">
        <v>13</v>
      </c>
      <c r="D6" t="s">
        <v>28</v>
      </c>
      <c r="E6">
        <v>281.75</v>
      </c>
      <c r="F6">
        <v>1800</v>
      </c>
      <c r="J6" t="s">
        <v>29</v>
      </c>
      <c r="K6" t="s">
        <v>31</v>
      </c>
      <c r="L6" t="s">
        <v>44</v>
      </c>
      <c r="M6" t="s">
        <v>18</v>
      </c>
      <c r="N6">
        <v>5</v>
      </c>
      <c r="O6" t="s">
        <v>61</v>
      </c>
      <c r="R6" t="s">
        <v>33</v>
      </c>
      <c r="S6" t="s">
        <v>43</v>
      </c>
      <c r="T6">
        <v>151</v>
      </c>
      <c r="U6" t="str">
        <f>_xlfn.IFNA(_xlfn.IFS(E6&gt;Dash!$D$46, "Big", E6&lt;Dash!$D$49, "Small", E6&gt;Dash!$D$47, "Good"), "Norm")</f>
        <v>Good</v>
      </c>
      <c r="V6" t="s">
        <v>13</v>
      </c>
      <c r="W6">
        <v>183.25</v>
      </c>
      <c r="X6" t="s">
        <v>28</v>
      </c>
    </row>
    <row r="7" spans="1:24" x14ac:dyDescent="0.25">
      <c r="A7" s="1">
        <v>45331</v>
      </c>
      <c r="B7" t="s">
        <v>26</v>
      </c>
      <c r="C7" t="s">
        <v>13</v>
      </c>
      <c r="D7" t="s">
        <v>28</v>
      </c>
      <c r="E7">
        <v>196</v>
      </c>
      <c r="F7">
        <v>300</v>
      </c>
      <c r="J7" t="s">
        <v>30</v>
      </c>
      <c r="K7" t="s">
        <v>31</v>
      </c>
      <c r="L7" t="s">
        <v>32</v>
      </c>
      <c r="M7" t="s">
        <v>23</v>
      </c>
      <c r="N7">
        <v>2</v>
      </c>
      <c r="R7" t="s">
        <v>33</v>
      </c>
      <c r="S7" t="s">
        <v>43</v>
      </c>
      <c r="T7">
        <v>185.25</v>
      </c>
      <c r="U7" t="str">
        <f>_xlfn.IFNA(_xlfn.IFS(E7&gt;Dash!$D$46, "Big", E7&lt;Dash!$D$49, "Small", E7&gt;Dash!$D$47, "Good"), "Norm")</f>
        <v>Norm</v>
      </c>
      <c r="V7" t="s">
        <v>33</v>
      </c>
      <c r="W7">
        <v>104.25</v>
      </c>
      <c r="X7" t="s">
        <v>28</v>
      </c>
    </row>
    <row r="8" spans="1:24" x14ac:dyDescent="0.25">
      <c r="A8" s="1">
        <v>45436</v>
      </c>
      <c r="B8" t="s">
        <v>26</v>
      </c>
      <c r="C8" t="s">
        <v>13</v>
      </c>
      <c r="D8">
        <v>1</v>
      </c>
      <c r="E8">
        <v>202.5</v>
      </c>
      <c r="J8" t="s">
        <v>34</v>
      </c>
      <c r="K8" t="s">
        <v>31</v>
      </c>
      <c r="L8" t="s">
        <v>32</v>
      </c>
      <c r="M8" t="s">
        <v>18</v>
      </c>
      <c r="N8">
        <v>5</v>
      </c>
      <c r="R8" t="s">
        <v>20</v>
      </c>
      <c r="S8" t="s">
        <v>53</v>
      </c>
      <c r="T8">
        <v>126</v>
      </c>
      <c r="U8" t="str">
        <f>_xlfn.IFNA(_xlfn.IFS(E8&gt;Dash!$D$46, "Big", E8&lt;Dash!$D$49, "Small", E8&gt;Dash!$D$47, "Good"), "Norm")</f>
        <v>Norm</v>
      </c>
      <c r="V8" t="s">
        <v>33</v>
      </c>
      <c r="W8">
        <v>401.75</v>
      </c>
      <c r="X8" t="s">
        <v>48</v>
      </c>
    </row>
    <row r="9" spans="1:24" x14ac:dyDescent="0.25">
      <c r="A9" s="1">
        <v>45499</v>
      </c>
      <c r="B9" t="s">
        <v>26</v>
      </c>
      <c r="C9" t="s">
        <v>13</v>
      </c>
      <c r="D9">
        <v>1</v>
      </c>
      <c r="E9">
        <v>257.5</v>
      </c>
      <c r="J9" t="s">
        <v>34</v>
      </c>
      <c r="K9" t="s">
        <v>31</v>
      </c>
      <c r="L9" t="s">
        <v>32</v>
      </c>
      <c r="M9" t="s">
        <v>18</v>
      </c>
      <c r="N9">
        <v>5</v>
      </c>
      <c r="R9" t="s">
        <v>33</v>
      </c>
      <c r="S9" t="s">
        <v>43</v>
      </c>
      <c r="T9">
        <v>264</v>
      </c>
      <c r="U9" t="str">
        <f>_xlfn.IFNA(_xlfn.IFS(E9&gt;Dash!$D$46, "Big", E9&lt;Dash!$D$49, "Small", E9&gt;Dash!$D$47, "Good"), "Norm")</f>
        <v>Good</v>
      </c>
      <c r="V9" t="s">
        <v>33</v>
      </c>
      <c r="W9">
        <v>507.25</v>
      </c>
      <c r="X9" t="s">
        <v>14</v>
      </c>
    </row>
    <row r="10" spans="1:24" x14ac:dyDescent="0.25">
      <c r="A10" s="1">
        <v>45611</v>
      </c>
      <c r="B10" t="s">
        <v>26</v>
      </c>
      <c r="C10" t="s">
        <v>13</v>
      </c>
      <c r="D10" t="s">
        <v>14</v>
      </c>
      <c r="E10">
        <v>458.75</v>
      </c>
      <c r="F10">
        <v>1800</v>
      </c>
      <c r="J10" t="s">
        <v>37</v>
      </c>
      <c r="K10" t="s">
        <v>16</v>
      </c>
      <c r="L10" t="s">
        <v>17</v>
      </c>
      <c r="M10" t="s">
        <v>18</v>
      </c>
      <c r="N10">
        <v>9</v>
      </c>
      <c r="O10" t="s">
        <v>61</v>
      </c>
      <c r="R10" t="s">
        <v>24</v>
      </c>
      <c r="S10">
        <v>1</v>
      </c>
      <c r="T10">
        <v>242.75</v>
      </c>
      <c r="U10" t="str">
        <f>_xlfn.IFNA(_xlfn.IFS(E10&gt;Dash!$D$46, "Big", E10&lt;Dash!$D$49, "Small", E10&gt;Dash!$D$47, "Good"), "Norm")</f>
        <v>Big</v>
      </c>
      <c r="V10" t="s">
        <v>20</v>
      </c>
      <c r="W10">
        <v>205.5</v>
      </c>
      <c r="X10" t="s">
        <v>48</v>
      </c>
    </row>
    <row r="11" spans="1:24" x14ac:dyDescent="0.25">
      <c r="A11" s="1">
        <v>45632</v>
      </c>
      <c r="B11" t="s">
        <v>26</v>
      </c>
      <c r="C11" t="s">
        <v>13</v>
      </c>
      <c r="D11" t="s">
        <v>38</v>
      </c>
      <c r="E11">
        <v>229</v>
      </c>
      <c r="F11">
        <v>1800</v>
      </c>
      <c r="G11">
        <v>1800</v>
      </c>
      <c r="H11">
        <v>900</v>
      </c>
      <c r="J11" t="s">
        <v>37</v>
      </c>
      <c r="K11" t="s">
        <v>31</v>
      </c>
      <c r="L11" t="s">
        <v>32</v>
      </c>
      <c r="M11" t="s">
        <v>23</v>
      </c>
      <c r="N11">
        <v>9</v>
      </c>
      <c r="R11" t="s">
        <v>41</v>
      </c>
      <c r="S11" t="s">
        <v>43</v>
      </c>
      <c r="T11">
        <v>212.75</v>
      </c>
      <c r="U11" t="str">
        <f>_xlfn.IFNA(_xlfn.IFS(E11&gt;Dash!$D$46, "Big", E11&lt;Dash!$D$49, "Small", E11&gt;Dash!$D$47, "Good"), "Norm")</f>
        <v>Norm</v>
      </c>
      <c r="V11" t="s">
        <v>33</v>
      </c>
      <c r="W11">
        <v>108.25</v>
      </c>
      <c r="X11" t="s">
        <v>43</v>
      </c>
    </row>
    <row r="12" spans="1:24" x14ac:dyDescent="0.25">
      <c r="A12" s="1">
        <v>45653</v>
      </c>
      <c r="B12" t="s">
        <v>26</v>
      </c>
      <c r="C12" t="s">
        <v>13</v>
      </c>
      <c r="D12" t="s">
        <v>14</v>
      </c>
      <c r="E12">
        <v>442</v>
      </c>
      <c r="F12">
        <v>900</v>
      </c>
      <c r="J12" t="s">
        <v>27</v>
      </c>
      <c r="K12" t="s">
        <v>16</v>
      </c>
      <c r="L12" t="s">
        <v>17</v>
      </c>
      <c r="M12" t="s">
        <v>36</v>
      </c>
      <c r="N12">
        <v>1</v>
      </c>
      <c r="R12" t="s">
        <v>24</v>
      </c>
      <c r="S12" t="s">
        <v>14</v>
      </c>
      <c r="T12">
        <v>318</v>
      </c>
      <c r="U12" t="str">
        <f>_xlfn.IFNA(_xlfn.IFS(E12&gt;Dash!$D$46, "Big", E12&lt;Dash!$D$49, "Small", E12&gt;Dash!$D$47, "Good"), "Norm")</f>
        <v>Big</v>
      </c>
      <c r="V12" t="s">
        <v>24</v>
      </c>
      <c r="W12">
        <v>206</v>
      </c>
      <c r="X12" t="s">
        <v>28</v>
      </c>
    </row>
    <row r="13" spans="1:24" x14ac:dyDescent="0.25">
      <c r="A13" s="1">
        <v>45478</v>
      </c>
      <c r="B13" t="s">
        <v>26</v>
      </c>
      <c r="C13" t="s">
        <v>13</v>
      </c>
      <c r="D13" t="s">
        <v>28</v>
      </c>
      <c r="E13">
        <v>266.5</v>
      </c>
      <c r="F13">
        <v>200</v>
      </c>
      <c r="G13">
        <v>400</v>
      </c>
      <c r="J13" t="s">
        <v>30</v>
      </c>
      <c r="K13" t="s">
        <v>31</v>
      </c>
      <c r="L13" t="s">
        <v>32</v>
      </c>
      <c r="M13" t="s">
        <v>23</v>
      </c>
      <c r="N13">
        <v>10</v>
      </c>
      <c r="R13" t="s">
        <v>13</v>
      </c>
      <c r="S13" t="s">
        <v>28</v>
      </c>
      <c r="T13">
        <v>100</v>
      </c>
      <c r="U13" t="str">
        <f>_xlfn.IFNA(_xlfn.IFS(E13&gt;Dash!$D$46, "Big", E13&lt;Dash!$D$49, "Small", E13&gt;Dash!$D$47, "Good"), "Norm")</f>
        <v>Good</v>
      </c>
      <c r="V13" t="s">
        <v>33</v>
      </c>
      <c r="W13">
        <v>230.25</v>
      </c>
      <c r="X13" t="s">
        <v>28</v>
      </c>
    </row>
    <row r="14" spans="1:24" x14ac:dyDescent="0.25">
      <c r="A14" s="1">
        <v>45180</v>
      </c>
      <c r="B14" t="s">
        <v>23</v>
      </c>
      <c r="C14" t="s">
        <v>13</v>
      </c>
      <c r="D14" t="s">
        <v>28</v>
      </c>
      <c r="E14">
        <v>158.5</v>
      </c>
      <c r="F14">
        <v>300</v>
      </c>
      <c r="G14">
        <v>300</v>
      </c>
      <c r="J14" t="s">
        <v>30</v>
      </c>
      <c r="K14" t="s">
        <v>31</v>
      </c>
      <c r="L14" t="s">
        <v>32</v>
      </c>
      <c r="M14" t="s">
        <v>18</v>
      </c>
      <c r="N14">
        <v>10</v>
      </c>
      <c r="P14">
        <v>1000</v>
      </c>
      <c r="Q14">
        <v>1500</v>
      </c>
      <c r="R14" t="s">
        <v>20</v>
      </c>
      <c r="S14" t="s">
        <v>14</v>
      </c>
      <c r="T14">
        <v>172.5</v>
      </c>
      <c r="U14" t="str">
        <f>_xlfn.IFNA(_xlfn.IFS(E14&gt;Dash!$D$46, "Big", E14&lt;Dash!$D$49, "Small", E14&gt;Dash!$D$47, "Good"), "Norm")</f>
        <v>Norm</v>
      </c>
      <c r="V14" t="s">
        <v>41</v>
      </c>
      <c r="W14">
        <v>149.75</v>
      </c>
      <c r="X14">
        <v>1</v>
      </c>
    </row>
    <row r="15" spans="1:24" x14ac:dyDescent="0.25">
      <c r="A15" s="1">
        <v>45250</v>
      </c>
      <c r="B15" t="s">
        <v>23</v>
      </c>
      <c r="C15" t="s">
        <v>13</v>
      </c>
      <c r="D15" t="s">
        <v>28</v>
      </c>
      <c r="E15">
        <v>229.5</v>
      </c>
      <c r="F15">
        <v>900</v>
      </c>
      <c r="J15" t="s">
        <v>27</v>
      </c>
      <c r="K15" t="s">
        <v>31</v>
      </c>
      <c r="L15" t="s">
        <v>32</v>
      </c>
      <c r="M15" t="s">
        <v>19</v>
      </c>
      <c r="N15">
        <v>5</v>
      </c>
      <c r="P15">
        <v>800</v>
      </c>
      <c r="Q15">
        <v>1500</v>
      </c>
      <c r="R15">
        <v>0</v>
      </c>
      <c r="S15" t="s">
        <v>14</v>
      </c>
      <c r="T15">
        <v>126.5</v>
      </c>
      <c r="U15" t="str">
        <f>_xlfn.IFNA(_xlfn.IFS(E15&gt;Dash!$D$46, "Big", E15&lt;Dash!$D$49, "Small", E15&gt;Dash!$D$47, "Good"), "Norm")</f>
        <v>Norm</v>
      </c>
      <c r="V15" t="s">
        <v>33</v>
      </c>
      <c r="W15">
        <v>115</v>
      </c>
      <c r="X15" t="s">
        <v>43</v>
      </c>
    </row>
    <row r="16" spans="1:24" x14ac:dyDescent="0.25">
      <c r="A16" s="1">
        <v>45257</v>
      </c>
      <c r="B16" t="s">
        <v>23</v>
      </c>
      <c r="C16" t="s">
        <v>13</v>
      </c>
      <c r="D16" t="s">
        <v>52</v>
      </c>
      <c r="E16">
        <v>119</v>
      </c>
      <c r="F16">
        <v>1900</v>
      </c>
      <c r="G16">
        <v>200</v>
      </c>
      <c r="H16">
        <v>1300</v>
      </c>
      <c r="J16" t="s">
        <v>37</v>
      </c>
      <c r="K16" t="s">
        <v>31</v>
      </c>
      <c r="L16" t="s">
        <v>32</v>
      </c>
      <c r="M16" t="s">
        <v>19</v>
      </c>
      <c r="N16">
        <v>8</v>
      </c>
      <c r="P16">
        <v>1300</v>
      </c>
      <c r="Q16">
        <v>1400</v>
      </c>
      <c r="R16" t="s">
        <v>33</v>
      </c>
      <c r="S16">
        <v>1</v>
      </c>
      <c r="T16">
        <v>126</v>
      </c>
      <c r="U16" t="str">
        <f>_xlfn.IFNA(_xlfn.IFS(E16&gt;Dash!$D$46, "Big", E16&lt;Dash!$D$49, "Small", E16&gt;Dash!$D$47, "Good"), "Norm")</f>
        <v>Small</v>
      </c>
      <c r="V16" t="s">
        <v>24</v>
      </c>
      <c r="W16">
        <v>87.5</v>
      </c>
      <c r="X16">
        <v>1</v>
      </c>
    </row>
    <row r="17" spans="1:24" x14ac:dyDescent="0.25">
      <c r="A17" s="1">
        <v>45271</v>
      </c>
      <c r="B17" t="s">
        <v>23</v>
      </c>
      <c r="C17" t="s">
        <v>13</v>
      </c>
      <c r="D17" t="s">
        <v>28</v>
      </c>
      <c r="E17">
        <v>401.25</v>
      </c>
      <c r="F17">
        <v>900</v>
      </c>
      <c r="J17" t="s">
        <v>27</v>
      </c>
      <c r="K17" t="s">
        <v>31</v>
      </c>
      <c r="L17" t="s">
        <v>32</v>
      </c>
      <c r="M17" t="s">
        <v>19</v>
      </c>
      <c r="N17">
        <v>15</v>
      </c>
      <c r="P17">
        <v>1400</v>
      </c>
      <c r="Q17">
        <v>1500</v>
      </c>
      <c r="R17">
        <v>0</v>
      </c>
      <c r="S17" t="s">
        <v>28</v>
      </c>
      <c r="T17">
        <v>183.25</v>
      </c>
      <c r="U17" t="str">
        <f>_xlfn.IFNA(_xlfn.IFS(E17&gt;Dash!$D$46, "Big", E17&lt;Dash!$D$49, "Small", E17&gt;Dash!$D$47, "Good"), "Norm")</f>
        <v>Good</v>
      </c>
      <c r="V17" t="s">
        <v>33</v>
      </c>
      <c r="W17">
        <v>230.5</v>
      </c>
      <c r="X17" t="s">
        <v>28</v>
      </c>
    </row>
    <row r="18" spans="1:24" x14ac:dyDescent="0.25">
      <c r="A18" s="1">
        <v>45278</v>
      </c>
      <c r="B18" t="s">
        <v>23</v>
      </c>
      <c r="C18" t="s">
        <v>13</v>
      </c>
      <c r="D18" t="s">
        <v>28</v>
      </c>
      <c r="E18">
        <v>144</v>
      </c>
      <c r="F18">
        <v>1000</v>
      </c>
      <c r="G18">
        <v>1000</v>
      </c>
      <c r="J18" t="s">
        <v>27</v>
      </c>
      <c r="K18" t="s">
        <v>31</v>
      </c>
      <c r="L18" t="s">
        <v>32</v>
      </c>
      <c r="M18" t="s">
        <v>18</v>
      </c>
      <c r="N18">
        <v>5</v>
      </c>
      <c r="P18">
        <v>1100</v>
      </c>
      <c r="Q18">
        <v>1400</v>
      </c>
      <c r="R18" t="s">
        <v>13</v>
      </c>
      <c r="S18" t="s">
        <v>28</v>
      </c>
      <c r="T18">
        <v>83</v>
      </c>
      <c r="U18" t="str">
        <f>_xlfn.IFNA(_xlfn.IFS(E18&gt;Dash!$D$46, "Big", E18&lt;Dash!$D$49, "Small", E18&gt;Dash!$D$47, "Good"), "Norm")</f>
        <v>Small</v>
      </c>
      <c r="V18" t="s">
        <v>24</v>
      </c>
      <c r="W18">
        <v>130.5</v>
      </c>
      <c r="X18" t="s">
        <v>28</v>
      </c>
    </row>
    <row r="19" spans="1:24" x14ac:dyDescent="0.25">
      <c r="A19" s="1">
        <v>45320</v>
      </c>
      <c r="B19" t="s">
        <v>23</v>
      </c>
      <c r="C19" t="s">
        <v>13</v>
      </c>
      <c r="D19" t="s">
        <v>38</v>
      </c>
      <c r="E19">
        <v>196.5</v>
      </c>
      <c r="F19">
        <v>1800</v>
      </c>
      <c r="G19">
        <v>1900</v>
      </c>
      <c r="H19">
        <v>1400</v>
      </c>
      <c r="J19" t="s">
        <v>29</v>
      </c>
      <c r="K19" t="s">
        <v>31</v>
      </c>
      <c r="L19" t="s">
        <v>32</v>
      </c>
      <c r="M19" t="s">
        <v>19</v>
      </c>
      <c r="N19">
        <v>13</v>
      </c>
      <c r="R19" t="s">
        <v>13</v>
      </c>
      <c r="S19" t="s">
        <v>47</v>
      </c>
      <c r="T19">
        <v>136.5</v>
      </c>
      <c r="U19" t="str">
        <f>_xlfn.IFNA(_xlfn.IFS(E19&gt;Dash!$D$46, "Big", E19&lt;Dash!$D$49, "Small", E19&gt;Dash!$D$47, "Good"), "Norm")</f>
        <v>Norm</v>
      </c>
      <c r="V19" t="s">
        <v>20</v>
      </c>
      <c r="W19">
        <v>128.5</v>
      </c>
      <c r="X19" t="s">
        <v>14</v>
      </c>
    </row>
    <row r="20" spans="1:24" x14ac:dyDescent="0.25">
      <c r="A20" s="1">
        <v>45418</v>
      </c>
      <c r="B20" t="s">
        <v>23</v>
      </c>
      <c r="C20" t="s">
        <v>13</v>
      </c>
      <c r="D20" t="s">
        <v>28</v>
      </c>
      <c r="E20">
        <v>160.75</v>
      </c>
      <c r="F20">
        <v>1800</v>
      </c>
      <c r="G20">
        <v>1800</v>
      </c>
      <c r="J20" t="s">
        <v>29</v>
      </c>
      <c r="K20" t="s">
        <v>31</v>
      </c>
      <c r="L20" t="s">
        <v>32</v>
      </c>
      <c r="M20" t="s">
        <v>36</v>
      </c>
      <c r="N20">
        <v>3</v>
      </c>
      <c r="R20" t="s">
        <v>20</v>
      </c>
      <c r="S20" t="s">
        <v>28</v>
      </c>
      <c r="T20">
        <v>106.25</v>
      </c>
      <c r="U20" t="str">
        <f>_xlfn.IFNA(_xlfn.IFS(E20&gt;Dash!$D$46, "Big", E20&lt;Dash!$D$49, "Small", E20&gt;Dash!$D$47, "Good"), "Norm")</f>
        <v>Norm</v>
      </c>
      <c r="V20" t="s">
        <v>41</v>
      </c>
      <c r="W20">
        <v>307</v>
      </c>
      <c r="X20" t="s">
        <v>28</v>
      </c>
    </row>
    <row r="21" spans="1:24" x14ac:dyDescent="0.25">
      <c r="A21" s="1">
        <v>45467</v>
      </c>
      <c r="B21" t="s">
        <v>23</v>
      </c>
      <c r="C21" t="s">
        <v>13</v>
      </c>
      <c r="D21" t="s">
        <v>14</v>
      </c>
      <c r="E21">
        <v>255</v>
      </c>
      <c r="F21">
        <v>900</v>
      </c>
      <c r="G21">
        <v>900</v>
      </c>
      <c r="J21" t="s">
        <v>45</v>
      </c>
      <c r="K21" t="s">
        <v>16</v>
      </c>
      <c r="L21" t="s">
        <v>17</v>
      </c>
      <c r="M21" t="s">
        <v>19</v>
      </c>
      <c r="N21">
        <v>6</v>
      </c>
      <c r="R21" t="s">
        <v>20</v>
      </c>
      <c r="S21" t="s">
        <v>46</v>
      </c>
      <c r="T21">
        <v>189</v>
      </c>
      <c r="U21" t="str">
        <f>_xlfn.IFNA(_xlfn.IFS(E21&gt;Dash!$D$46, "Big", E21&lt;Dash!$D$49, "Small", E21&gt;Dash!$D$47, "Good"), "Norm")</f>
        <v>Good</v>
      </c>
      <c r="V21" t="s">
        <v>41</v>
      </c>
      <c r="W21">
        <v>158.5</v>
      </c>
      <c r="X21" t="s">
        <v>46</v>
      </c>
    </row>
    <row r="22" spans="1:24" x14ac:dyDescent="0.25">
      <c r="A22" s="1">
        <v>45481</v>
      </c>
      <c r="B22" t="s">
        <v>23</v>
      </c>
      <c r="C22" t="s">
        <v>13</v>
      </c>
      <c r="D22" t="s">
        <v>28</v>
      </c>
      <c r="E22">
        <v>100</v>
      </c>
      <c r="F22">
        <v>900</v>
      </c>
      <c r="G22">
        <v>900</v>
      </c>
      <c r="J22" t="s">
        <v>27</v>
      </c>
      <c r="K22" t="s">
        <v>31</v>
      </c>
      <c r="L22" t="s">
        <v>32</v>
      </c>
      <c r="M22" t="s">
        <v>19</v>
      </c>
      <c r="N22">
        <v>9</v>
      </c>
      <c r="R22" t="s">
        <v>33</v>
      </c>
      <c r="S22" t="s">
        <v>43</v>
      </c>
      <c r="T22">
        <v>156</v>
      </c>
      <c r="U22" t="str">
        <f>_xlfn.IFNA(_xlfn.IFS(E22&gt;Dash!$D$46, "Big", E22&lt;Dash!$D$49, "Small", E22&gt;Dash!$D$47, "Good"), "Norm")</f>
        <v>Small</v>
      </c>
      <c r="V22" t="s">
        <v>13</v>
      </c>
      <c r="W22">
        <v>266.5</v>
      </c>
      <c r="X22" t="s">
        <v>28</v>
      </c>
    </row>
    <row r="23" spans="1:24" x14ac:dyDescent="0.25">
      <c r="A23" s="1">
        <v>45495</v>
      </c>
      <c r="B23" t="s">
        <v>23</v>
      </c>
      <c r="C23" t="s">
        <v>13</v>
      </c>
      <c r="D23" t="s">
        <v>28</v>
      </c>
      <c r="E23">
        <v>235</v>
      </c>
      <c r="F23">
        <v>900</v>
      </c>
      <c r="G23">
        <v>900</v>
      </c>
      <c r="J23" t="s">
        <v>27</v>
      </c>
      <c r="K23" t="s">
        <v>31</v>
      </c>
      <c r="L23" t="s">
        <v>32</v>
      </c>
      <c r="M23" t="s">
        <v>18</v>
      </c>
      <c r="N23">
        <v>5</v>
      </c>
      <c r="R23" t="s">
        <v>41</v>
      </c>
      <c r="S23" t="s">
        <v>43</v>
      </c>
      <c r="T23">
        <v>180.75</v>
      </c>
      <c r="U23" t="str">
        <f>_xlfn.IFNA(_xlfn.IFS(E23&gt;Dash!$D$46, "Big", E23&lt;Dash!$D$49, "Small", E23&gt;Dash!$D$47, "Good"), "Norm")</f>
        <v>Norm</v>
      </c>
      <c r="V23" t="s">
        <v>20</v>
      </c>
      <c r="W23">
        <v>322.5</v>
      </c>
      <c r="X23" t="s">
        <v>14</v>
      </c>
    </row>
    <row r="24" spans="1:24" x14ac:dyDescent="0.25">
      <c r="A24" s="1">
        <v>45544</v>
      </c>
      <c r="B24" t="s">
        <v>23</v>
      </c>
      <c r="C24" t="s">
        <v>13</v>
      </c>
      <c r="D24">
        <v>1</v>
      </c>
      <c r="E24">
        <v>232.75</v>
      </c>
      <c r="J24" t="s">
        <v>34</v>
      </c>
      <c r="K24" t="s">
        <v>31</v>
      </c>
      <c r="L24" t="s">
        <v>32</v>
      </c>
      <c r="M24" t="s">
        <v>18</v>
      </c>
      <c r="N24">
        <v>6</v>
      </c>
      <c r="R24" t="s">
        <v>20</v>
      </c>
      <c r="S24" t="s">
        <v>28</v>
      </c>
      <c r="T24">
        <v>288.75</v>
      </c>
      <c r="U24" t="str">
        <f>_xlfn.IFNA(_xlfn.IFS(E24&gt;Dash!$D$46, "Big", E24&lt;Dash!$D$49, "Small", E24&gt;Dash!$D$47, "Good"), "Norm")</f>
        <v>Norm</v>
      </c>
      <c r="V24" t="s">
        <v>33</v>
      </c>
      <c r="W24">
        <v>542</v>
      </c>
      <c r="X24" t="s">
        <v>14</v>
      </c>
    </row>
    <row r="25" spans="1:24" x14ac:dyDescent="0.25">
      <c r="A25" s="1">
        <v>45565</v>
      </c>
      <c r="B25" t="s">
        <v>23</v>
      </c>
      <c r="C25" t="s">
        <v>13</v>
      </c>
      <c r="D25" t="s">
        <v>46</v>
      </c>
      <c r="E25">
        <v>230.75</v>
      </c>
      <c r="F25">
        <v>1800</v>
      </c>
      <c r="G25">
        <v>1800</v>
      </c>
      <c r="J25" t="s">
        <v>37</v>
      </c>
      <c r="K25" t="s">
        <v>16</v>
      </c>
      <c r="L25" t="s">
        <v>17</v>
      </c>
      <c r="M25" t="s">
        <v>23</v>
      </c>
      <c r="N25">
        <v>9</v>
      </c>
      <c r="R25" t="s">
        <v>24</v>
      </c>
      <c r="S25" t="s">
        <v>48</v>
      </c>
      <c r="T25">
        <v>468.5</v>
      </c>
      <c r="U25" t="str">
        <f>_xlfn.IFNA(_xlfn.IFS(E25&gt;Dash!$D$46, "Big", E25&lt;Dash!$D$49, "Small", E25&gt;Dash!$D$47, "Good"), "Norm")</f>
        <v>Norm</v>
      </c>
      <c r="V25" t="s">
        <v>33</v>
      </c>
      <c r="W25">
        <v>222.75</v>
      </c>
      <c r="X25" t="s">
        <v>14</v>
      </c>
    </row>
    <row r="26" spans="1:24" x14ac:dyDescent="0.25">
      <c r="A26" s="1">
        <v>45572</v>
      </c>
      <c r="B26" t="s">
        <v>23</v>
      </c>
      <c r="C26" t="s">
        <v>13</v>
      </c>
      <c r="D26" t="s">
        <v>43</v>
      </c>
      <c r="E26">
        <v>239.25</v>
      </c>
      <c r="F26">
        <v>1800</v>
      </c>
      <c r="G26">
        <v>1800</v>
      </c>
      <c r="J26" t="s">
        <v>29</v>
      </c>
      <c r="K26" t="s">
        <v>16</v>
      </c>
      <c r="L26" t="s">
        <v>17</v>
      </c>
      <c r="M26" t="s">
        <v>18</v>
      </c>
      <c r="N26">
        <v>7</v>
      </c>
      <c r="R26" t="s">
        <v>13</v>
      </c>
      <c r="S26" t="s">
        <v>38</v>
      </c>
      <c r="T26">
        <v>273.25</v>
      </c>
      <c r="U26" t="str">
        <f>_xlfn.IFNA(_xlfn.IFS(E26&gt;Dash!$D$46, "Big", E26&lt;Dash!$D$49, "Small", E26&gt;Dash!$D$47, "Good"), "Norm")</f>
        <v>Norm</v>
      </c>
      <c r="V26" t="s">
        <v>24</v>
      </c>
      <c r="W26">
        <v>250.5</v>
      </c>
      <c r="X26" t="s">
        <v>28</v>
      </c>
    </row>
    <row r="27" spans="1:24" x14ac:dyDescent="0.25">
      <c r="A27" s="1">
        <v>45628</v>
      </c>
      <c r="B27" t="s">
        <v>23</v>
      </c>
      <c r="C27" t="s">
        <v>13</v>
      </c>
      <c r="D27" t="s">
        <v>28</v>
      </c>
      <c r="E27">
        <v>260.75</v>
      </c>
      <c r="F27">
        <v>800</v>
      </c>
      <c r="J27" t="s">
        <v>27</v>
      </c>
      <c r="K27" t="s">
        <v>31</v>
      </c>
      <c r="L27" t="s">
        <v>32</v>
      </c>
      <c r="M27" t="s">
        <v>23</v>
      </c>
      <c r="N27">
        <v>9</v>
      </c>
      <c r="R27" t="s">
        <v>33</v>
      </c>
      <c r="S27" t="s">
        <v>28</v>
      </c>
      <c r="T27">
        <v>155.5</v>
      </c>
      <c r="U27" t="str">
        <f>_xlfn.IFNA(_xlfn.IFS(E27&gt;Dash!$D$46, "Big", E27&lt;Dash!$D$49, "Small", E27&gt;Dash!$D$47, "Good"), "Norm")</f>
        <v>Good</v>
      </c>
      <c r="V27" t="s">
        <v>33</v>
      </c>
      <c r="W27">
        <v>212</v>
      </c>
      <c r="X27" t="s">
        <v>28</v>
      </c>
    </row>
    <row r="28" spans="1:24" x14ac:dyDescent="0.25">
      <c r="A28" s="1">
        <v>45642</v>
      </c>
      <c r="B28" t="s">
        <v>23</v>
      </c>
      <c r="C28" t="s">
        <v>13</v>
      </c>
      <c r="D28" t="s">
        <v>40</v>
      </c>
      <c r="E28">
        <v>284</v>
      </c>
      <c r="F28">
        <v>1800</v>
      </c>
      <c r="G28">
        <v>1800</v>
      </c>
      <c r="J28" t="s">
        <v>29</v>
      </c>
      <c r="K28" t="s">
        <v>31</v>
      </c>
      <c r="L28" t="s">
        <v>32</v>
      </c>
      <c r="M28" t="s">
        <v>23</v>
      </c>
      <c r="N28">
        <v>11</v>
      </c>
      <c r="R28" t="s">
        <v>24</v>
      </c>
      <c r="S28">
        <v>1</v>
      </c>
      <c r="T28">
        <v>141.75</v>
      </c>
      <c r="U28" t="str">
        <f>_xlfn.IFNA(_xlfn.IFS(E28&gt;Dash!$D$46, "Big", E28&lt;Dash!$D$49, "Small", E28&gt;Dash!$D$47, "Good"), "Norm")</f>
        <v>Good</v>
      </c>
      <c r="V28" t="s">
        <v>41</v>
      </c>
      <c r="W28">
        <v>241.5</v>
      </c>
      <c r="X28" t="s">
        <v>40</v>
      </c>
    </row>
    <row r="29" spans="1:24" x14ac:dyDescent="0.25">
      <c r="A29" s="1">
        <v>45383</v>
      </c>
      <c r="B29" t="s">
        <v>23</v>
      </c>
      <c r="C29" t="s">
        <v>13</v>
      </c>
      <c r="D29" t="s">
        <v>48</v>
      </c>
      <c r="E29">
        <v>192.5</v>
      </c>
      <c r="F29">
        <v>1800</v>
      </c>
      <c r="G29">
        <v>800</v>
      </c>
      <c r="H29">
        <v>1100</v>
      </c>
      <c r="I29">
        <v>1200</v>
      </c>
      <c r="J29" t="s">
        <v>29</v>
      </c>
      <c r="K29" t="s">
        <v>16</v>
      </c>
      <c r="L29" t="s">
        <v>17</v>
      </c>
      <c r="M29" t="s">
        <v>23</v>
      </c>
      <c r="N29">
        <v>9</v>
      </c>
      <c r="R29" t="s">
        <v>41</v>
      </c>
      <c r="S29" t="s">
        <v>14</v>
      </c>
      <c r="T29">
        <v>213</v>
      </c>
      <c r="U29" t="str">
        <f>_xlfn.IFNA(_xlfn.IFS(E29&gt;Dash!$D$46, "Big", E29&lt;Dash!$D$49, "Small", E29&gt;Dash!$D$47, "Good"), "Norm")</f>
        <v>Norm</v>
      </c>
      <c r="V29" t="s">
        <v>33</v>
      </c>
      <c r="W29">
        <v>90</v>
      </c>
      <c r="X29">
        <v>1</v>
      </c>
    </row>
    <row r="30" spans="1:24" x14ac:dyDescent="0.25">
      <c r="A30" s="1">
        <v>45190</v>
      </c>
      <c r="B30" t="s">
        <v>36</v>
      </c>
      <c r="C30" t="s">
        <v>13</v>
      </c>
      <c r="D30" t="s">
        <v>14</v>
      </c>
      <c r="E30">
        <v>161</v>
      </c>
      <c r="F30">
        <v>1800</v>
      </c>
      <c r="J30" t="s">
        <v>37</v>
      </c>
      <c r="K30" t="s">
        <v>16</v>
      </c>
      <c r="L30" t="s">
        <v>42</v>
      </c>
      <c r="M30" t="s">
        <v>18</v>
      </c>
      <c r="N30">
        <v>7</v>
      </c>
      <c r="P30">
        <v>1300</v>
      </c>
      <c r="Q30">
        <v>1600</v>
      </c>
      <c r="R30" t="s">
        <v>24</v>
      </c>
      <c r="S30" t="s">
        <v>46</v>
      </c>
      <c r="T30">
        <v>175</v>
      </c>
      <c r="U30" t="str">
        <f>_xlfn.IFNA(_xlfn.IFS(E30&gt;Dash!$D$46, "Big", E30&lt;Dash!$D$49, "Small", E30&gt;Dash!$D$47, "Good"), "Norm")</f>
        <v>Norm</v>
      </c>
      <c r="V30" t="s">
        <v>33</v>
      </c>
      <c r="W30">
        <v>288.75</v>
      </c>
      <c r="X30" t="s">
        <v>14</v>
      </c>
    </row>
    <row r="31" spans="1:24" x14ac:dyDescent="0.25">
      <c r="A31" s="1">
        <v>45232</v>
      </c>
      <c r="B31" t="s">
        <v>36</v>
      </c>
      <c r="C31" t="s">
        <v>13</v>
      </c>
      <c r="D31" t="s">
        <v>28</v>
      </c>
      <c r="E31">
        <v>139</v>
      </c>
      <c r="F31">
        <v>800</v>
      </c>
      <c r="G31">
        <v>800</v>
      </c>
      <c r="J31" t="s">
        <v>29</v>
      </c>
      <c r="K31" t="s">
        <v>31</v>
      </c>
      <c r="L31" t="s">
        <v>32</v>
      </c>
      <c r="M31" t="s">
        <v>19</v>
      </c>
      <c r="N31">
        <v>13</v>
      </c>
      <c r="O31" t="s">
        <v>70</v>
      </c>
      <c r="P31">
        <v>1200</v>
      </c>
      <c r="Q31">
        <v>1600</v>
      </c>
      <c r="R31" t="s">
        <v>13</v>
      </c>
      <c r="S31" t="s">
        <v>28</v>
      </c>
      <c r="T31">
        <v>288.5</v>
      </c>
      <c r="U31" t="str">
        <f>_xlfn.IFNA(_xlfn.IFS(E31&gt;Dash!$D$46, "Big", E31&lt;Dash!$D$49, "Small", E31&gt;Dash!$D$47, "Good"), "Norm")</f>
        <v>Small</v>
      </c>
      <c r="V31" t="s">
        <v>20</v>
      </c>
      <c r="W31">
        <v>344.75</v>
      </c>
      <c r="X31" t="s">
        <v>28</v>
      </c>
    </row>
    <row r="32" spans="1:24" x14ac:dyDescent="0.25">
      <c r="A32" s="1">
        <v>45274</v>
      </c>
      <c r="B32" t="s">
        <v>36</v>
      </c>
      <c r="C32" t="s">
        <v>13</v>
      </c>
      <c r="D32" t="s">
        <v>43</v>
      </c>
      <c r="E32">
        <v>249.25</v>
      </c>
      <c r="F32">
        <v>1800</v>
      </c>
      <c r="G32">
        <v>1100</v>
      </c>
      <c r="J32" t="s">
        <v>29</v>
      </c>
      <c r="K32" t="s">
        <v>16</v>
      </c>
      <c r="L32" t="s">
        <v>17</v>
      </c>
      <c r="M32" t="s">
        <v>19</v>
      </c>
      <c r="N32">
        <v>15</v>
      </c>
      <c r="P32">
        <v>1300</v>
      </c>
      <c r="Q32">
        <v>1600</v>
      </c>
      <c r="R32" t="s">
        <v>24</v>
      </c>
      <c r="S32" t="s">
        <v>28</v>
      </c>
      <c r="T32">
        <v>130.5</v>
      </c>
      <c r="U32" t="str">
        <f>_xlfn.IFNA(_xlfn.IFS(E32&gt;Dash!$D$46, "Big", E32&lt;Dash!$D$49, "Small", E32&gt;Dash!$D$47, "Good"), "Norm")</f>
        <v>Norm</v>
      </c>
      <c r="V32" t="s">
        <v>33</v>
      </c>
      <c r="W32">
        <v>230.5</v>
      </c>
      <c r="X32" t="s">
        <v>28</v>
      </c>
    </row>
    <row r="33" spans="1:24" x14ac:dyDescent="0.25">
      <c r="A33" s="1">
        <v>45309</v>
      </c>
      <c r="B33" t="s">
        <v>36</v>
      </c>
      <c r="C33" t="s">
        <v>13</v>
      </c>
      <c r="D33" t="s">
        <v>28</v>
      </c>
      <c r="E33">
        <v>183.25</v>
      </c>
      <c r="F33">
        <v>600</v>
      </c>
      <c r="J33" t="s">
        <v>30</v>
      </c>
      <c r="K33" t="s">
        <v>31</v>
      </c>
      <c r="L33" t="s">
        <v>32</v>
      </c>
      <c r="M33" t="s">
        <v>18</v>
      </c>
      <c r="N33">
        <v>5</v>
      </c>
      <c r="R33" t="s">
        <v>13</v>
      </c>
      <c r="S33" t="s">
        <v>28</v>
      </c>
      <c r="T33">
        <v>281.75</v>
      </c>
      <c r="U33" t="str">
        <f>_xlfn.IFNA(_xlfn.IFS(E33&gt;Dash!$D$46, "Big", E33&lt;Dash!$D$49, "Small", E33&gt;Dash!$D$47, "Good"), "Norm")</f>
        <v>Norm</v>
      </c>
      <c r="V33" t="s">
        <v>24</v>
      </c>
      <c r="W33">
        <v>201.25</v>
      </c>
      <c r="X33" t="s">
        <v>46</v>
      </c>
    </row>
    <row r="34" spans="1:24" x14ac:dyDescent="0.25">
      <c r="A34" s="1">
        <v>45344</v>
      </c>
      <c r="B34" t="s">
        <v>36</v>
      </c>
      <c r="C34" t="s">
        <v>13</v>
      </c>
      <c r="D34" t="s">
        <v>28</v>
      </c>
      <c r="E34">
        <v>223</v>
      </c>
      <c r="F34">
        <v>1900</v>
      </c>
      <c r="J34" t="s">
        <v>29</v>
      </c>
      <c r="K34" t="s">
        <v>31</v>
      </c>
      <c r="L34" t="s">
        <v>32</v>
      </c>
      <c r="M34" t="s">
        <v>18</v>
      </c>
      <c r="N34">
        <v>4</v>
      </c>
      <c r="R34" t="s">
        <v>33</v>
      </c>
      <c r="S34" t="s">
        <v>43</v>
      </c>
      <c r="T34">
        <v>198.75</v>
      </c>
      <c r="U34" t="str">
        <f>_xlfn.IFNA(_xlfn.IFS(E34&gt;Dash!$D$46, "Big", E34&lt;Dash!$D$49, "Small", E34&gt;Dash!$D$47, "Good"), "Norm")</f>
        <v>Norm</v>
      </c>
      <c r="V34" t="s">
        <v>33</v>
      </c>
      <c r="W34">
        <v>169.75</v>
      </c>
      <c r="X34" t="s">
        <v>46</v>
      </c>
    </row>
    <row r="35" spans="1:24" x14ac:dyDescent="0.25">
      <c r="A35" s="1">
        <v>45505</v>
      </c>
      <c r="B35" t="s">
        <v>36</v>
      </c>
      <c r="C35" t="s">
        <v>13</v>
      </c>
      <c r="D35" t="s">
        <v>48</v>
      </c>
      <c r="E35">
        <v>813.75</v>
      </c>
      <c r="F35">
        <v>1900</v>
      </c>
      <c r="G35">
        <v>2000</v>
      </c>
      <c r="J35" t="s">
        <v>29</v>
      </c>
      <c r="K35" t="s">
        <v>16</v>
      </c>
      <c r="L35" t="s">
        <v>42</v>
      </c>
      <c r="M35" t="s">
        <v>19</v>
      </c>
      <c r="N35">
        <v>13</v>
      </c>
      <c r="O35" t="s">
        <v>73</v>
      </c>
      <c r="R35" t="s">
        <v>24</v>
      </c>
      <c r="S35" t="s">
        <v>14</v>
      </c>
      <c r="T35">
        <v>375.75</v>
      </c>
      <c r="U35" t="str">
        <f>_xlfn.IFNA(_xlfn.IFS(E35&gt;Dash!$D$46, "Big", E35&lt;Dash!$D$49, "Small", E35&gt;Dash!$D$47, "Good"), "Norm")</f>
        <v>Big</v>
      </c>
      <c r="V35" t="s">
        <v>13</v>
      </c>
      <c r="W35">
        <v>327.5</v>
      </c>
      <c r="X35" t="s">
        <v>28</v>
      </c>
    </row>
    <row r="36" spans="1:24" x14ac:dyDescent="0.25">
      <c r="A36" s="1">
        <v>45512</v>
      </c>
      <c r="B36" t="s">
        <v>36</v>
      </c>
      <c r="C36" t="s">
        <v>13</v>
      </c>
      <c r="D36" t="s">
        <v>38</v>
      </c>
      <c r="E36">
        <v>597.25</v>
      </c>
      <c r="F36">
        <v>1900</v>
      </c>
      <c r="G36">
        <v>1900</v>
      </c>
      <c r="H36">
        <v>1400</v>
      </c>
      <c r="I36">
        <v>1400</v>
      </c>
      <c r="J36" t="s">
        <v>37</v>
      </c>
      <c r="K36" t="s">
        <v>31</v>
      </c>
      <c r="L36" t="s">
        <v>44</v>
      </c>
      <c r="M36" t="s">
        <v>23</v>
      </c>
      <c r="N36">
        <v>2</v>
      </c>
      <c r="R36" t="s">
        <v>33</v>
      </c>
      <c r="S36" t="s">
        <v>28</v>
      </c>
      <c r="T36">
        <v>291.5</v>
      </c>
      <c r="U36" t="str">
        <f>_xlfn.IFNA(_xlfn.IFS(E36&gt;Dash!$D$46, "Big", E36&lt;Dash!$D$49, "Small", E36&gt;Dash!$D$47, "Good"), "Norm")</f>
        <v>Big</v>
      </c>
      <c r="V36" t="s">
        <v>33</v>
      </c>
      <c r="W36">
        <v>606.75</v>
      </c>
      <c r="X36" t="s">
        <v>48</v>
      </c>
    </row>
    <row r="37" spans="1:24" x14ac:dyDescent="0.25">
      <c r="A37" s="1">
        <v>45519</v>
      </c>
      <c r="B37" t="s">
        <v>36</v>
      </c>
      <c r="C37" t="s">
        <v>13</v>
      </c>
      <c r="D37" t="s">
        <v>28</v>
      </c>
      <c r="E37">
        <v>465</v>
      </c>
      <c r="F37">
        <v>2200</v>
      </c>
      <c r="G37">
        <v>100</v>
      </c>
      <c r="J37" t="s">
        <v>29</v>
      </c>
      <c r="K37" t="s">
        <v>31</v>
      </c>
      <c r="L37" t="s">
        <v>32</v>
      </c>
      <c r="M37" t="s">
        <v>19</v>
      </c>
      <c r="N37">
        <v>8</v>
      </c>
      <c r="R37" t="s">
        <v>41</v>
      </c>
      <c r="S37" t="s">
        <v>28</v>
      </c>
      <c r="T37">
        <v>213.25</v>
      </c>
      <c r="U37" t="str">
        <f>_xlfn.IFNA(_xlfn.IFS(E37&gt;Dash!$D$46, "Big", E37&lt;Dash!$D$49, "Small", E37&gt;Dash!$D$47, "Good"), "Norm")</f>
        <v>Big</v>
      </c>
      <c r="V37" t="s">
        <v>33</v>
      </c>
      <c r="W37">
        <v>278</v>
      </c>
      <c r="X37" t="s">
        <v>28</v>
      </c>
    </row>
    <row r="38" spans="1:24" x14ac:dyDescent="0.25">
      <c r="A38" s="1">
        <v>45554</v>
      </c>
      <c r="B38" t="s">
        <v>36</v>
      </c>
      <c r="C38" t="s">
        <v>13</v>
      </c>
      <c r="D38" t="s">
        <v>28</v>
      </c>
      <c r="E38">
        <v>239</v>
      </c>
      <c r="F38">
        <v>200</v>
      </c>
      <c r="J38" t="s">
        <v>30</v>
      </c>
      <c r="K38" t="s">
        <v>31</v>
      </c>
      <c r="L38" t="s">
        <v>32</v>
      </c>
      <c r="M38" t="s">
        <v>19</v>
      </c>
      <c r="N38">
        <v>7</v>
      </c>
      <c r="R38" t="s">
        <v>33</v>
      </c>
      <c r="S38">
        <v>1</v>
      </c>
      <c r="T38">
        <v>224</v>
      </c>
      <c r="U38" t="str">
        <f>_xlfn.IFNA(_xlfn.IFS(E38&gt;Dash!$D$46, "Big", E38&lt;Dash!$D$49, "Small", E38&gt;Dash!$D$47, "Good"), "Norm")</f>
        <v>Norm</v>
      </c>
      <c r="V38" t="s">
        <v>33</v>
      </c>
      <c r="W38">
        <v>342</v>
      </c>
      <c r="X38" t="s">
        <v>48</v>
      </c>
    </row>
    <row r="39" spans="1:24" x14ac:dyDescent="0.25">
      <c r="A39" s="1">
        <v>45596</v>
      </c>
      <c r="B39" t="s">
        <v>36</v>
      </c>
      <c r="C39" t="s">
        <v>13</v>
      </c>
      <c r="D39" t="s">
        <v>14</v>
      </c>
      <c r="E39">
        <v>407.75</v>
      </c>
      <c r="F39">
        <v>1800</v>
      </c>
      <c r="J39" t="s">
        <v>37</v>
      </c>
      <c r="K39" t="s">
        <v>16</v>
      </c>
      <c r="L39" t="s">
        <v>17</v>
      </c>
      <c r="M39" t="s">
        <v>19</v>
      </c>
      <c r="N39">
        <v>11</v>
      </c>
      <c r="O39" t="s">
        <v>73</v>
      </c>
      <c r="R39" t="s">
        <v>24</v>
      </c>
      <c r="S39">
        <v>1</v>
      </c>
      <c r="T39">
        <v>230.5</v>
      </c>
      <c r="U39" t="str">
        <f>_xlfn.IFNA(_xlfn.IFS(E39&gt;Dash!$D$46, "Big", E39&lt;Dash!$D$49, "Small", E39&gt;Dash!$D$47, "Good"), "Norm")</f>
        <v>Big</v>
      </c>
      <c r="V39" t="s">
        <v>13</v>
      </c>
      <c r="W39">
        <v>219.75</v>
      </c>
      <c r="X39" t="s">
        <v>14</v>
      </c>
    </row>
    <row r="40" spans="1:24" x14ac:dyDescent="0.25">
      <c r="A40" s="1">
        <v>45603</v>
      </c>
      <c r="B40" t="s">
        <v>36</v>
      </c>
      <c r="C40" t="s">
        <v>13</v>
      </c>
      <c r="D40" t="s">
        <v>28</v>
      </c>
      <c r="E40">
        <v>294.75</v>
      </c>
      <c r="F40">
        <v>2200</v>
      </c>
      <c r="G40">
        <v>2200</v>
      </c>
      <c r="J40" t="s">
        <v>29</v>
      </c>
      <c r="K40" t="s">
        <v>31</v>
      </c>
      <c r="L40" t="s">
        <v>32</v>
      </c>
      <c r="M40" t="s">
        <v>19</v>
      </c>
      <c r="N40">
        <v>7</v>
      </c>
      <c r="R40" t="s">
        <v>20</v>
      </c>
      <c r="S40" t="s">
        <v>28</v>
      </c>
      <c r="T40">
        <v>108.75</v>
      </c>
      <c r="U40" t="str">
        <f>_xlfn.IFNA(_xlfn.IFS(E40&gt;Dash!$D$46, "Big", E40&lt;Dash!$D$49, "Small", E40&gt;Dash!$D$47, "Good"), "Norm")</f>
        <v>Good</v>
      </c>
      <c r="V40" t="s">
        <v>13</v>
      </c>
      <c r="W40">
        <v>287</v>
      </c>
      <c r="X40" t="s">
        <v>28</v>
      </c>
    </row>
    <row r="41" spans="1:24" x14ac:dyDescent="0.25">
      <c r="A41" s="1">
        <v>45638</v>
      </c>
      <c r="B41" t="s">
        <v>36</v>
      </c>
      <c r="C41" t="s">
        <v>13</v>
      </c>
      <c r="D41">
        <v>1</v>
      </c>
      <c r="E41">
        <v>120.25</v>
      </c>
      <c r="J41" t="s">
        <v>34</v>
      </c>
      <c r="K41" t="s">
        <v>16</v>
      </c>
      <c r="L41" t="s">
        <v>42</v>
      </c>
      <c r="M41" t="s">
        <v>18</v>
      </c>
      <c r="N41">
        <v>6</v>
      </c>
      <c r="R41" t="s">
        <v>41</v>
      </c>
      <c r="S41" t="s">
        <v>40</v>
      </c>
      <c r="T41">
        <v>241.5</v>
      </c>
      <c r="U41" t="str">
        <f>_xlfn.IFNA(_xlfn.IFS(E41&gt;Dash!$D$46, "Big", E41&lt;Dash!$D$49, "Small", E41&gt;Dash!$D$47, "Good"), "Norm")</f>
        <v>Small</v>
      </c>
      <c r="V41" t="s">
        <v>20</v>
      </c>
      <c r="W41">
        <v>383.75</v>
      </c>
      <c r="X41" t="s">
        <v>28</v>
      </c>
    </row>
    <row r="42" spans="1:24" x14ac:dyDescent="0.25">
      <c r="A42" s="1">
        <v>45195</v>
      </c>
      <c r="B42" t="s">
        <v>19</v>
      </c>
      <c r="C42" t="s">
        <v>13</v>
      </c>
      <c r="D42" t="s">
        <v>14</v>
      </c>
      <c r="E42">
        <v>226.75</v>
      </c>
      <c r="F42">
        <v>900</v>
      </c>
      <c r="J42" t="s">
        <v>45</v>
      </c>
      <c r="K42" t="s">
        <v>16</v>
      </c>
      <c r="L42" t="s">
        <v>17</v>
      </c>
      <c r="M42" t="s">
        <v>19</v>
      </c>
      <c r="N42">
        <v>6</v>
      </c>
      <c r="P42">
        <v>1300</v>
      </c>
      <c r="Q42">
        <v>1500</v>
      </c>
      <c r="R42" t="s">
        <v>33</v>
      </c>
      <c r="S42" t="s">
        <v>46</v>
      </c>
      <c r="T42">
        <v>235.5</v>
      </c>
      <c r="U42" t="str">
        <f>_xlfn.IFNA(_xlfn.IFS(E42&gt;Dash!$D$46, "Big", E42&lt;Dash!$D$49, "Small", E42&gt;Dash!$D$47, "Good"), "Norm")</f>
        <v>Norm</v>
      </c>
      <c r="V42" t="s">
        <v>33</v>
      </c>
      <c r="W42">
        <v>157</v>
      </c>
      <c r="X42" t="s">
        <v>46</v>
      </c>
    </row>
    <row r="43" spans="1:24" x14ac:dyDescent="0.25">
      <c r="A43" s="1">
        <v>45244</v>
      </c>
      <c r="B43" t="s">
        <v>19</v>
      </c>
      <c r="C43" t="s">
        <v>13</v>
      </c>
      <c r="D43" t="s">
        <v>28</v>
      </c>
      <c r="E43">
        <v>366.75</v>
      </c>
      <c r="F43">
        <v>800</v>
      </c>
      <c r="J43" t="s">
        <v>30</v>
      </c>
      <c r="K43" t="s">
        <v>31</v>
      </c>
      <c r="L43" t="s">
        <v>32</v>
      </c>
      <c r="M43" t="s">
        <v>19</v>
      </c>
      <c r="N43">
        <v>9</v>
      </c>
      <c r="P43">
        <v>1400</v>
      </c>
      <c r="Q43">
        <v>1500</v>
      </c>
      <c r="R43" t="s">
        <v>33</v>
      </c>
      <c r="S43" t="s">
        <v>43</v>
      </c>
      <c r="T43">
        <v>217</v>
      </c>
      <c r="U43" t="str">
        <f>_xlfn.IFNA(_xlfn.IFS(E43&gt;Dash!$D$46, "Big", E43&lt;Dash!$D$49, "Small", E43&gt;Dash!$D$47, "Good"), "Norm")</f>
        <v>Good</v>
      </c>
      <c r="V43" t="s">
        <v>24</v>
      </c>
      <c r="W43">
        <v>124.25</v>
      </c>
      <c r="X43">
        <v>1</v>
      </c>
    </row>
    <row r="44" spans="1:24" x14ac:dyDescent="0.25">
      <c r="A44" s="1">
        <v>45279</v>
      </c>
      <c r="B44" t="s">
        <v>19</v>
      </c>
      <c r="C44" t="s">
        <v>13</v>
      </c>
      <c r="D44" t="s">
        <v>28</v>
      </c>
      <c r="E44">
        <v>83</v>
      </c>
      <c r="F44">
        <v>700</v>
      </c>
      <c r="G44">
        <v>700</v>
      </c>
      <c r="J44" t="s">
        <v>30</v>
      </c>
      <c r="K44" t="s">
        <v>31</v>
      </c>
      <c r="L44" t="s">
        <v>44</v>
      </c>
      <c r="M44" t="s">
        <v>18</v>
      </c>
      <c r="N44">
        <v>5</v>
      </c>
      <c r="P44">
        <v>1500</v>
      </c>
      <c r="Q44">
        <v>1500</v>
      </c>
      <c r="R44" t="s">
        <v>33</v>
      </c>
      <c r="S44" t="s">
        <v>57</v>
      </c>
      <c r="T44">
        <v>313.25</v>
      </c>
      <c r="U44" t="str">
        <f>_xlfn.IFNA(_xlfn.IFS(E44&gt;Dash!$D$46, "Big", E44&lt;Dash!$D$49, "Small", E44&gt;Dash!$D$47, "Good"), "Norm")</f>
        <v>Small</v>
      </c>
      <c r="V44" t="s">
        <v>13</v>
      </c>
      <c r="W44">
        <v>144</v>
      </c>
      <c r="X44" t="s">
        <v>28</v>
      </c>
    </row>
    <row r="45" spans="1:24" x14ac:dyDescent="0.25">
      <c r="A45" s="1">
        <v>45321</v>
      </c>
      <c r="B45" t="s">
        <v>19</v>
      </c>
      <c r="C45" t="s">
        <v>13</v>
      </c>
      <c r="D45" t="s">
        <v>47</v>
      </c>
      <c r="E45">
        <v>136.5</v>
      </c>
      <c r="F45">
        <v>1800</v>
      </c>
      <c r="G45">
        <v>2000</v>
      </c>
      <c r="J45" t="s">
        <v>29</v>
      </c>
      <c r="K45" t="s">
        <v>16</v>
      </c>
      <c r="L45" t="s">
        <v>42</v>
      </c>
      <c r="M45" t="s">
        <v>19</v>
      </c>
      <c r="N45">
        <v>13</v>
      </c>
      <c r="O45" t="s">
        <v>64</v>
      </c>
      <c r="R45">
        <v>0</v>
      </c>
      <c r="S45" t="s">
        <v>47</v>
      </c>
      <c r="T45">
        <v>253.5</v>
      </c>
      <c r="U45" t="str">
        <f>_xlfn.IFNA(_xlfn.IFS(E45&gt;Dash!$D$46, "Big", E45&lt;Dash!$D$49, "Small", E45&gt;Dash!$D$47, "Good"), "Norm")</f>
        <v>Small</v>
      </c>
      <c r="V45" t="s">
        <v>13</v>
      </c>
      <c r="W45">
        <v>196.5</v>
      </c>
      <c r="X45" t="s">
        <v>38</v>
      </c>
    </row>
    <row r="46" spans="1:24" x14ac:dyDescent="0.25">
      <c r="A46" s="1">
        <v>45356</v>
      </c>
      <c r="B46" t="s">
        <v>19</v>
      </c>
      <c r="C46" t="s">
        <v>13</v>
      </c>
      <c r="D46" t="s">
        <v>14</v>
      </c>
      <c r="E46">
        <v>343.25</v>
      </c>
      <c r="F46">
        <v>1800</v>
      </c>
      <c r="J46" t="s">
        <v>37</v>
      </c>
      <c r="K46" t="s">
        <v>16</v>
      </c>
      <c r="L46" t="s">
        <v>17</v>
      </c>
      <c r="M46" t="s">
        <v>19</v>
      </c>
      <c r="N46">
        <v>9</v>
      </c>
      <c r="R46" t="s">
        <v>13</v>
      </c>
      <c r="S46">
        <v>1</v>
      </c>
      <c r="T46">
        <v>210.75</v>
      </c>
      <c r="U46" t="str">
        <f>_xlfn.IFNA(_xlfn.IFS(E46&gt;Dash!$D$46, "Big", E46&lt;Dash!$D$49, "Small", E46&gt;Dash!$D$47, "Good"), "Norm")</f>
        <v>Good</v>
      </c>
      <c r="V46" t="s">
        <v>20</v>
      </c>
      <c r="W46">
        <v>98.75</v>
      </c>
      <c r="X46" t="s">
        <v>43</v>
      </c>
    </row>
    <row r="47" spans="1:24" x14ac:dyDescent="0.25">
      <c r="A47" s="1">
        <v>45405</v>
      </c>
      <c r="B47" t="s">
        <v>19</v>
      </c>
      <c r="C47" t="s">
        <v>13</v>
      </c>
      <c r="D47" t="s">
        <v>28</v>
      </c>
      <c r="E47">
        <v>297.25</v>
      </c>
      <c r="F47">
        <v>900</v>
      </c>
      <c r="J47" t="s">
        <v>27</v>
      </c>
      <c r="K47" t="s">
        <v>31</v>
      </c>
      <c r="L47" t="s">
        <v>32</v>
      </c>
      <c r="M47" t="s">
        <v>19</v>
      </c>
      <c r="N47">
        <v>7</v>
      </c>
      <c r="O47" t="s">
        <v>63</v>
      </c>
      <c r="R47" t="s">
        <v>33</v>
      </c>
      <c r="S47" t="s">
        <v>43</v>
      </c>
      <c r="T47">
        <v>228.25</v>
      </c>
      <c r="U47" t="str">
        <f>_xlfn.IFNA(_xlfn.IFS(E47&gt;Dash!$D$46, "Big", E47&lt;Dash!$D$49, "Small", E47&gt;Dash!$D$47, "Good"), "Norm")</f>
        <v>Good</v>
      </c>
      <c r="V47" t="s">
        <v>33</v>
      </c>
      <c r="W47">
        <v>299.5</v>
      </c>
      <c r="X47">
        <v>1</v>
      </c>
    </row>
    <row r="48" spans="1:24" x14ac:dyDescent="0.25">
      <c r="A48" s="1">
        <v>45412</v>
      </c>
      <c r="B48" t="s">
        <v>19</v>
      </c>
      <c r="C48" t="s">
        <v>13</v>
      </c>
      <c r="D48" t="s">
        <v>14</v>
      </c>
      <c r="E48">
        <v>331.75</v>
      </c>
      <c r="F48">
        <v>800</v>
      </c>
      <c r="G48">
        <v>800</v>
      </c>
      <c r="J48" t="s">
        <v>45</v>
      </c>
      <c r="K48" t="s">
        <v>16</v>
      </c>
      <c r="L48" t="s">
        <v>42</v>
      </c>
      <c r="M48" t="s">
        <v>19</v>
      </c>
      <c r="N48">
        <v>14</v>
      </c>
      <c r="O48" t="s">
        <v>69</v>
      </c>
      <c r="R48" t="s">
        <v>33</v>
      </c>
      <c r="S48" t="s">
        <v>46</v>
      </c>
      <c r="T48">
        <v>394</v>
      </c>
      <c r="U48" t="str">
        <f>_xlfn.IFNA(_xlfn.IFS(E48&gt;Dash!$D$46, "Big", E48&lt;Dash!$D$49, "Small", E48&gt;Dash!$D$47, "Good"), "Norm")</f>
        <v>Good</v>
      </c>
      <c r="V48" t="s">
        <v>33</v>
      </c>
      <c r="W48">
        <v>157.75</v>
      </c>
      <c r="X48" t="s">
        <v>28</v>
      </c>
    </row>
    <row r="49" spans="1:24" x14ac:dyDescent="0.25">
      <c r="A49" s="1">
        <v>45517</v>
      </c>
      <c r="B49" t="s">
        <v>19</v>
      </c>
      <c r="C49" t="s">
        <v>13</v>
      </c>
      <c r="D49" t="s">
        <v>28</v>
      </c>
      <c r="E49">
        <v>402.5</v>
      </c>
      <c r="F49">
        <v>300</v>
      </c>
      <c r="G49">
        <v>400</v>
      </c>
      <c r="J49" t="s">
        <v>30</v>
      </c>
      <c r="K49" t="s">
        <v>31</v>
      </c>
      <c r="L49" t="s">
        <v>44</v>
      </c>
      <c r="M49" t="s">
        <v>19</v>
      </c>
      <c r="N49">
        <v>8</v>
      </c>
      <c r="R49" t="s">
        <v>33</v>
      </c>
      <c r="S49" t="s">
        <v>28</v>
      </c>
      <c r="T49">
        <v>278</v>
      </c>
      <c r="U49" t="str">
        <f>_xlfn.IFNA(_xlfn.IFS(E49&gt;Dash!$D$46, "Big", E49&lt;Dash!$D$49, "Small", E49&gt;Dash!$D$47, "Good"), "Norm")</f>
        <v>Big</v>
      </c>
      <c r="V49" t="s">
        <v>24</v>
      </c>
      <c r="W49">
        <v>241.75</v>
      </c>
      <c r="X49" t="s">
        <v>28</v>
      </c>
    </row>
    <row r="50" spans="1:24" x14ac:dyDescent="0.25">
      <c r="A50" s="1">
        <v>45573</v>
      </c>
      <c r="B50" t="s">
        <v>19</v>
      </c>
      <c r="C50" t="s">
        <v>13</v>
      </c>
      <c r="D50" t="s">
        <v>38</v>
      </c>
      <c r="E50">
        <v>273.25</v>
      </c>
      <c r="F50">
        <v>1800</v>
      </c>
      <c r="G50">
        <v>1800</v>
      </c>
      <c r="H50">
        <v>1000</v>
      </c>
      <c r="I50">
        <v>1000</v>
      </c>
      <c r="J50" t="s">
        <v>37</v>
      </c>
      <c r="K50" t="s">
        <v>31</v>
      </c>
      <c r="L50" t="s">
        <v>32</v>
      </c>
      <c r="M50" t="s">
        <v>18</v>
      </c>
      <c r="N50">
        <v>7</v>
      </c>
      <c r="R50" t="s">
        <v>20</v>
      </c>
      <c r="S50" t="s">
        <v>28</v>
      </c>
      <c r="T50">
        <v>244.25</v>
      </c>
      <c r="U50" t="str">
        <f>_xlfn.IFNA(_xlfn.IFS(E50&gt;Dash!$D$46, "Big", E50&lt;Dash!$D$49, "Small", E50&gt;Dash!$D$47, "Good"), "Norm")</f>
        <v>Good</v>
      </c>
      <c r="V50" t="s">
        <v>13</v>
      </c>
      <c r="W50">
        <v>239.25</v>
      </c>
      <c r="X50" t="s">
        <v>43</v>
      </c>
    </row>
    <row r="51" spans="1:24" x14ac:dyDescent="0.25">
      <c r="A51" s="1">
        <v>45601</v>
      </c>
      <c r="B51" t="s">
        <v>19</v>
      </c>
      <c r="C51" t="s">
        <v>13</v>
      </c>
      <c r="D51" t="s">
        <v>28</v>
      </c>
      <c r="E51">
        <v>265.25</v>
      </c>
      <c r="F51">
        <v>900</v>
      </c>
      <c r="J51" t="s">
        <v>27</v>
      </c>
      <c r="K51" t="s">
        <v>31</v>
      </c>
      <c r="L51" t="s">
        <v>44</v>
      </c>
      <c r="M51" t="s">
        <v>19</v>
      </c>
      <c r="N51">
        <v>7</v>
      </c>
      <c r="R51" t="s">
        <v>13</v>
      </c>
      <c r="S51" t="s">
        <v>28</v>
      </c>
      <c r="T51">
        <v>287</v>
      </c>
      <c r="U51" t="str">
        <f>_xlfn.IFNA(_xlfn.IFS(E51&gt;Dash!$D$46, "Big", E51&lt;Dash!$D$49, "Small", E51&gt;Dash!$D$47, "Good"), "Norm")</f>
        <v>Good</v>
      </c>
      <c r="V51" t="s">
        <v>24</v>
      </c>
      <c r="W51">
        <v>213.75</v>
      </c>
      <c r="X51" t="s">
        <v>14</v>
      </c>
    </row>
    <row r="52" spans="1:24" x14ac:dyDescent="0.25">
      <c r="A52" s="1">
        <v>45650</v>
      </c>
      <c r="B52" t="s">
        <v>19</v>
      </c>
      <c r="C52" t="s">
        <v>13</v>
      </c>
      <c r="D52" t="s">
        <v>28</v>
      </c>
      <c r="E52">
        <v>297</v>
      </c>
      <c r="F52">
        <v>200</v>
      </c>
      <c r="G52">
        <v>200</v>
      </c>
      <c r="J52" t="s">
        <v>30</v>
      </c>
      <c r="K52" t="s">
        <v>31</v>
      </c>
      <c r="L52" t="s">
        <v>32</v>
      </c>
      <c r="M52" t="s">
        <v>36</v>
      </c>
      <c r="N52">
        <v>1</v>
      </c>
      <c r="R52" t="s">
        <v>24</v>
      </c>
      <c r="S52" t="s">
        <v>28</v>
      </c>
      <c r="T52">
        <v>206</v>
      </c>
      <c r="U52" t="str">
        <f>_xlfn.IFNA(_xlfn.IFS(E52&gt;Dash!$D$46, "Big", E52&lt;Dash!$D$49, "Small", E52&gt;Dash!$D$47, "Good"), "Norm")</f>
        <v>Good</v>
      </c>
      <c r="V52" t="s">
        <v>33</v>
      </c>
      <c r="W52">
        <v>300</v>
      </c>
      <c r="X52">
        <v>1</v>
      </c>
    </row>
    <row r="53" spans="1:24" x14ac:dyDescent="0.25">
      <c r="A53" s="1">
        <v>45286</v>
      </c>
      <c r="B53" t="s">
        <v>19</v>
      </c>
      <c r="C53" t="s">
        <v>13</v>
      </c>
      <c r="D53" t="s">
        <v>28</v>
      </c>
      <c r="E53">
        <v>114.25</v>
      </c>
      <c r="F53">
        <v>900</v>
      </c>
      <c r="G53">
        <v>900</v>
      </c>
      <c r="J53" t="s">
        <v>27</v>
      </c>
      <c r="K53" t="s">
        <v>31</v>
      </c>
      <c r="L53" t="s">
        <v>32</v>
      </c>
      <c r="M53" t="s">
        <v>58</v>
      </c>
      <c r="N53">
        <v>0</v>
      </c>
      <c r="P53">
        <v>700</v>
      </c>
      <c r="Q53">
        <v>1500</v>
      </c>
      <c r="R53" t="s">
        <v>33</v>
      </c>
      <c r="S53" t="s">
        <v>28</v>
      </c>
      <c r="T53">
        <v>72.25</v>
      </c>
      <c r="U53" t="str">
        <f>_xlfn.IFNA(_xlfn.IFS(E53&gt;Dash!$D$46, "Big", E53&lt;Dash!$D$49, "Small", E53&gt;Dash!$D$47, "Good"), "Norm")</f>
        <v>Small</v>
      </c>
      <c r="V53" t="s">
        <v>24</v>
      </c>
      <c r="W53">
        <v>145.5</v>
      </c>
      <c r="X53" t="s">
        <v>43</v>
      </c>
    </row>
    <row r="54" spans="1:24" x14ac:dyDescent="0.25">
      <c r="A54" s="1">
        <v>45293</v>
      </c>
      <c r="B54" t="s">
        <v>19</v>
      </c>
      <c r="C54" t="s">
        <v>13</v>
      </c>
      <c r="D54" t="s">
        <v>14</v>
      </c>
      <c r="E54">
        <v>255.25</v>
      </c>
      <c r="F54">
        <v>600</v>
      </c>
      <c r="J54" t="s">
        <v>15</v>
      </c>
      <c r="K54" t="s">
        <v>16</v>
      </c>
      <c r="L54" t="s">
        <v>17</v>
      </c>
      <c r="M54" t="s">
        <v>18</v>
      </c>
      <c r="N54">
        <v>8</v>
      </c>
      <c r="R54" t="s">
        <v>13</v>
      </c>
      <c r="S54" t="s">
        <v>14</v>
      </c>
      <c r="T54">
        <v>131.5</v>
      </c>
      <c r="U54" t="str">
        <f>_xlfn.IFNA(_xlfn.IFS(E54&gt;Dash!$D$46, "Big", E54&lt;Dash!$D$49, "Small", E54&gt;Dash!$D$47, "Good"), "Norm")</f>
        <v>Good</v>
      </c>
      <c r="V54" t="s">
        <v>41</v>
      </c>
      <c r="W54">
        <v>169.25</v>
      </c>
      <c r="X54" t="s">
        <v>43</v>
      </c>
    </row>
    <row r="55" spans="1:24" x14ac:dyDescent="0.25">
      <c r="A55" s="1">
        <v>45342</v>
      </c>
      <c r="B55" t="s">
        <v>19</v>
      </c>
      <c r="C55" t="s">
        <v>13</v>
      </c>
      <c r="D55" t="s">
        <v>14</v>
      </c>
      <c r="E55">
        <v>271.5</v>
      </c>
      <c r="F55">
        <v>2000</v>
      </c>
      <c r="G55">
        <v>200</v>
      </c>
      <c r="J55" t="s">
        <v>37</v>
      </c>
      <c r="K55" t="s">
        <v>16</v>
      </c>
      <c r="L55" t="s">
        <v>17</v>
      </c>
      <c r="M55" t="s">
        <v>18</v>
      </c>
      <c r="N55">
        <v>4</v>
      </c>
      <c r="R55" t="s">
        <v>33</v>
      </c>
      <c r="S55" t="s">
        <v>46</v>
      </c>
      <c r="T55">
        <v>169.75</v>
      </c>
      <c r="U55" t="str">
        <f>_xlfn.IFNA(_xlfn.IFS(E55&gt;Dash!$D$46, "Big", E55&lt;Dash!$D$49, "Small", E55&gt;Dash!$D$47, "Good"), "Norm")</f>
        <v>Good</v>
      </c>
      <c r="V55" t="s">
        <v>41</v>
      </c>
      <c r="W55">
        <v>292.75</v>
      </c>
      <c r="X55" t="s">
        <v>48</v>
      </c>
    </row>
    <row r="56" spans="1:24" x14ac:dyDescent="0.25">
      <c r="A56" s="1">
        <v>45538</v>
      </c>
      <c r="B56" t="s">
        <v>19</v>
      </c>
      <c r="C56" t="s">
        <v>13</v>
      </c>
      <c r="D56" t="s">
        <v>48</v>
      </c>
      <c r="E56">
        <v>611.25</v>
      </c>
      <c r="F56">
        <v>1800</v>
      </c>
      <c r="G56">
        <v>1900</v>
      </c>
      <c r="H56">
        <v>900</v>
      </c>
      <c r="J56" t="s">
        <v>29</v>
      </c>
      <c r="K56" t="s">
        <v>16</v>
      </c>
      <c r="L56" t="s">
        <v>17</v>
      </c>
      <c r="M56" t="s">
        <v>19</v>
      </c>
      <c r="N56">
        <v>9</v>
      </c>
      <c r="R56" t="s">
        <v>24</v>
      </c>
      <c r="S56" t="s">
        <v>46</v>
      </c>
      <c r="T56">
        <v>276.5</v>
      </c>
      <c r="U56" t="str">
        <f>_xlfn.IFNA(_xlfn.IFS(E56&gt;Dash!$D$46, "Big", E56&lt;Dash!$D$49, "Small", E56&gt;Dash!$D$47, "Good"), "Norm")</f>
        <v>Big</v>
      </c>
      <c r="V56" t="s">
        <v>33</v>
      </c>
      <c r="W56">
        <v>262.25</v>
      </c>
      <c r="X56">
        <v>1</v>
      </c>
    </row>
    <row r="57" spans="1:24" x14ac:dyDescent="0.25">
      <c r="A57" s="1">
        <v>45175</v>
      </c>
      <c r="B57" t="s">
        <v>18</v>
      </c>
      <c r="C57" t="s">
        <v>13</v>
      </c>
      <c r="D57" t="s">
        <v>14</v>
      </c>
      <c r="E57">
        <v>203.75</v>
      </c>
      <c r="F57">
        <v>1000</v>
      </c>
      <c r="J57" t="s">
        <v>45</v>
      </c>
      <c r="K57" t="s">
        <v>16</v>
      </c>
      <c r="L57" t="s">
        <v>17</v>
      </c>
      <c r="M57" t="s">
        <v>18</v>
      </c>
      <c r="N57">
        <v>2</v>
      </c>
      <c r="P57">
        <v>1300</v>
      </c>
      <c r="Q57">
        <v>1500</v>
      </c>
      <c r="R57" t="s">
        <v>24</v>
      </c>
      <c r="S57" t="s">
        <v>14</v>
      </c>
      <c r="T57">
        <v>154.25</v>
      </c>
      <c r="U57" t="str">
        <f>_xlfn.IFNA(_xlfn.IFS(E57&gt;Dash!$D$46, "Big", E57&lt;Dash!$D$49, "Small", E57&gt;Dash!$D$47, "Good"), "Norm")</f>
        <v>Norm</v>
      </c>
      <c r="V57" t="s">
        <v>20</v>
      </c>
      <c r="W57">
        <v>150</v>
      </c>
      <c r="X57" t="s">
        <v>46</v>
      </c>
    </row>
    <row r="58" spans="1:24" x14ac:dyDescent="0.25">
      <c r="A58" s="1">
        <v>45217</v>
      </c>
      <c r="B58" t="s">
        <v>18</v>
      </c>
      <c r="C58" t="s">
        <v>13</v>
      </c>
      <c r="D58" t="s">
        <v>14</v>
      </c>
      <c r="E58">
        <v>244.5</v>
      </c>
      <c r="F58">
        <v>1400</v>
      </c>
      <c r="G58">
        <v>1400</v>
      </c>
      <c r="J58" t="s">
        <v>21</v>
      </c>
      <c r="K58" t="s">
        <v>16</v>
      </c>
      <c r="L58" t="s">
        <v>17</v>
      </c>
      <c r="M58" t="s">
        <v>23</v>
      </c>
      <c r="N58">
        <v>5</v>
      </c>
      <c r="O58" t="s">
        <v>104</v>
      </c>
      <c r="P58">
        <v>1200</v>
      </c>
      <c r="Q58">
        <v>1500</v>
      </c>
      <c r="R58" t="s">
        <v>33</v>
      </c>
      <c r="S58" t="s">
        <v>43</v>
      </c>
      <c r="T58">
        <v>286</v>
      </c>
      <c r="U58" t="str">
        <f>_xlfn.IFNA(_xlfn.IFS(E58&gt;Dash!$D$46, "Big", E58&lt;Dash!$D$49, "Small", E58&gt;Dash!$D$47, "Good"), "Norm")</f>
        <v>Norm</v>
      </c>
      <c r="V58" t="s">
        <v>33</v>
      </c>
      <c r="W58">
        <v>259</v>
      </c>
      <c r="X58" t="s">
        <v>14</v>
      </c>
    </row>
    <row r="59" spans="1:24" x14ac:dyDescent="0.25">
      <c r="A59" s="1">
        <v>45224</v>
      </c>
      <c r="B59" t="s">
        <v>18</v>
      </c>
      <c r="C59" t="s">
        <v>13</v>
      </c>
      <c r="D59" t="s">
        <v>14</v>
      </c>
      <c r="E59">
        <v>339</v>
      </c>
      <c r="F59">
        <v>900</v>
      </c>
      <c r="J59" t="s">
        <v>45</v>
      </c>
      <c r="K59" t="s">
        <v>16</v>
      </c>
      <c r="L59" t="s">
        <v>17</v>
      </c>
      <c r="M59" t="s">
        <v>19</v>
      </c>
      <c r="N59">
        <v>7</v>
      </c>
      <c r="O59" t="s">
        <v>68</v>
      </c>
      <c r="P59">
        <v>1100</v>
      </c>
      <c r="Q59">
        <v>1600</v>
      </c>
      <c r="R59" t="s">
        <v>33</v>
      </c>
      <c r="S59" t="s">
        <v>47</v>
      </c>
      <c r="T59">
        <v>318.75</v>
      </c>
      <c r="U59" t="str">
        <f>_xlfn.IFNA(_xlfn.IFS(E59&gt;Dash!$D$46, "Big", E59&lt;Dash!$D$49, "Small", E59&gt;Dash!$D$47, "Good"), "Norm")</f>
        <v>Good</v>
      </c>
      <c r="V59" t="s">
        <v>33</v>
      </c>
      <c r="W59">
        <v>172</v>
      </c>
      <c r="X59" t="s">
        <v>28</v>
      </c>
    </row>
    <row r="60" spans="1:24" x14ac:dyDescent="0.25">
      <c r="A60" s="1">
        <v>45294</v>
      </c>
      <c r="B60" t="s">
        <v>18</v>
      </c>
      <c r="C60" t="s">
        <v>13</v>
      </c>
      <c r="D60" t="s">
        <v>14</v>
      </c>
      <c r="E60">
        <v>131.5</v>
      </c>
      <c r="F60">
        <v>700</v>
      </c>
      <c r="J60" t="s">
        <v>30</v>
      </c>
      <c r="K60" t="s">
        <v>16</v>
      </c>
      <c r="L60" t="s">
        <v>17</v>
      </c>
      <c r="M60" t="s">
        <v>18</v>
      </c>
      <c r="N60">
        <v>8</v>
      </c>
      <c r="R60" t="s">
        <v>20</v>
      </c>
      <c r="S60" t="s">
        <v>14</v>
      </c>
      <c r="T60">
        <v>147.75</v>
      </c>
      <c r="U60" t="str">
        <f>_xlfn.IFNA(_xlfn.IFS(E60&gt;Dash!$D$46, "Big", E60&lt;Dash!$D$49, "Small", E60&gt;Dash!$D$47, "Good"), "Norm")</f>
        <v>Small</v>
      </c>
      <c r="V60" t="s">
        <v>13</v>
      </c>
      <c r="W60">
        <v>255.25</v>
      </c>
      <c r="X60" t="s">
        <v>14</v>
      </c>
    </row>
    <row r="61" spans="1:24" x14ac:dyDescent="0.25">
      <c r="A61" s="1">
        <v>45315</v>
      </c>
      <c r="B61" t="s">
        <v>18</v>
      </c>
      <c r="C61" t="s">
        <v>13</v>
      </c>
      <c r="D61" t="s">
        <v>28</v>
      </c>
      <c r="E61">
        <v>189.5</v>
      </c>
      <c r="F61">
        <v>1800</v>
      </c>
      <c r="J61" t="s">
        <v>29</v>
      </c>
      <c r="K61" t="s">
        <v>31</v>
      </c>
      <c r="L61" t="s">
        <v>32</v>
      </c>
      <c r="M61" t="s">
        <v>18</v>
      </c>
      <c r="N61">
        <v>5</v>
      </c>
      <c r="O61" t="s">
        <v>63</v>
      </c>
      <c r="R61" t="s">
        <v>33</v>
      </c>
      <c r="S61" t="s">
        <v>46</v>
      </c>
      <c r="T61">
        <v>210</v>
      </c>
      <c r="U61" t="str">
        <f>_xlfn.IFNA(_xlfn.IFS(E61&gt;Dash!$D$46, "Big", E61&lt;Dash!$D$49, "Small", E61&gt;Dash!$D$47, "Good"), "Norm")</f>
        <v>Norm</v>
      </c>
      <c r="V61" t="s">
        <v>33</v>
      </c>
      <c r="W61">
        <v>129.5</v>
      </c>
      <c r="X61" t="s">
        <v>46</v>
      </c>
    </row>
    <row r="62" spans="1:24" x14ac:dyDescent="0.25">
      <c r="A62" s="1">
        <v>45336</v>
      </c>
      <c r="B62" t="s">
        <v>18</v>
      </c>
      <c r="C62" t="s">
        <v>13</v>
      </c>
      <c r="D62">
        <v>1</v>
      </c>
      <c r="E62">
        <v>196.75</v>
      </c>
      <c r="J62" t="s">
        <v>34</v>
      </c>
      <c r="K62" t="s">
        <v>31</v>
      </c>
      <c r="L62" t="s">
        <v>32</v>
      </c>
      <c r="M62" t="s">
        <v>19</v>
      </c>
      <c r="N62">
        <v>10</v>
      </c>
      <c r="R62" t="s">
        <v>33</v>
      </c>
      <c r="S62" t="s">
        <v>28</v>
      </c>
      <c r="T62">
        <v>153</v>
      </c>
      <c r="U62" t="str">
        <f>_xlfn.IFNA(_xlfn.IFS(E62&gt;Dash!$D$46, "Big", E62&lt;Dash!$D$49, "Small", E62&gt;Dash!$D$47, "Good"), "Norm")</f>
        <v>Norm</v>
      </c>
      <c r="V62" t="s">
        <v>20</v>
      </c>
      <c r="W62">
        <v>328</v>
      </c>
      <c r="X62" t="s">
        <v>14</v>
      </c>
    </row>
    <row r="63" spans="1:24" x14ac:dyDescent="0.25">
      <c r="A63" s="1">
        <v>45350</v>
      </c>
      <c r="B63" t="s">
        <v>18</v>
      </c>
      <c r="C63" t="s">
        <v>13</v>
      </c>
      <c r="D63" t="s">
        <v>14</v>
      </c>
      <c r="E63">
        <v>99</v>
      </c>
      <c r="F63">
        <v>400</v>
      </c>
      <c r="G63">
        <v>500</v>
      </c>
      <c r="J63" t="s">
        <v>15</v>
      </c>
      <c r="K63" t="s">
        <v>16</v>
      </c>
      <c r="L63" t="s">
        <v>42</v>
      </c>
      <c r="M63" t="s">
        <v>19</v>
      </c>
      <c r="N63">
        <v>7</v>
      </c>
      <c r="R63" t="s">
        <v>20</v>
      </c>
      <c r="S63" t="s">
        <v>38</v>
      </c>
      <c r="T63">
        <v>250</v>
      </c>
      <c r="U63" t="str">
        <f>_xlfn.IFNA(_xlfn.IFS(E63&gt;Dash!$D$46, "Big", E63&lt;Dash!$D$49, "Small", E63&gt;Dash!$D$47, "Good"), "Norm")</f>
        <v>Small</v>
      </c>
      <c r="V63" t="s">
        <v>20</v>
      </c>
      <c r="W63">
        <v>125</v>
      </c>
      <c r="X63" t="s">
        <v>46</v>
      </c>
    </row>
    <row r="64" spans="1:24" x14ac:dyDescent="0.25">
      <c r="A64" s="1">
        <v>45357</v>
      </c>
      <c r="B64" t="s">
        <v>18</v>
      </c>
      <c r="C64" t="s">
        <v>13</v>
      </c>
      <c r="D64">
        <v>1</v>
      </c>
      <c r="E64">
        <v>210.75</v>
      </c>
      <c r="J64" t="s">
        <v>34</v>
      </c>
      <c r="K64" t="s">
        <v>31</v>
      </c>
      <c r="L64" t="s">
        <v>32</v>
      </c>
      <c r="M64" t="s">
        <v>19</v>
      </c>
      <c r="N64">
        <v>9</v>
      </c>
      <c r="R64" t="s">
        <v>20</v>
      </c>
      <c r="S64" t="s">
        <v>38</v>
      </c>
      <c r="T64">
        <v>254.75</v>
      </c>
      <c r="U64" t="str">
        <f>_xlfn.IFNA(_xlfn.IFS(E64&gt;Dash!$D$46, "Big", E64&lt;Dash!$D$49, "Small", E64&gt;Dash!$D$47, "Good"), "Norm")</f>
        <v>Norm</v>
      </c>
      <c r="V64" t="s">
        <v>13</v>
      </c>
      <c r="W64">
        <v>343.25</v>
      </c>
      <c r="X64" t="s">
        <v>14</v>
      </c>
    </row>
    <row r="65" spans="1:24" x14ac:dyDescent="0.25">
      <c r="A65" s="1">
        <v>45371</v>
      </c>
      <c r="B65" t="s">
        <v>18</v>
      </c>
      <c r="C65" t="s">
        <v>13</v>
      </c>
      <c r="D65" t="s">
        <v>14</v>
      </c>
      <c r="E65">
        <v>253</v>
      </c>
      <c r="F65">
        <v>600</v>
      </c>
      <c r="G65">
        <v>900</v>
      </c>
      <c r="J65" t="s">
        <v>30</v>
      </c>
      <c r="K65" t="s">
        <v>31</v>
      </c>
      <c r="L65" t="s">
        <v>44</v>
      </c>
      <c r="M65" t="s">
        <v>18</v>
      </c>
      <c r="N65">
        <v>8</v>
      </c>
      <c r="R65" t="s">
        <v>24</v>
      </c>
      <c r="S65" t="s">
        <v>28</v>
      </c>
      <c r="T65">
        <v>156.5</v>
      </c>
      <c r="U65" t="str">
        <f>_xlfn.IFNA(_xlfn.IFS(E65&gt;Dash!$D$46, "Big", E65&lt;Dash!$D$49, "Small", E65&gt;Dash!$D$47, "Good"), "Norm")</f>
        <v>Good</v>
      </c>
      <c r="V65" t="s">
        <v>33</v>
      </c>
      <c r="W65">
        <v>236</v>
      </c>
      <c r="X65" t="s">
        <v>46</v>
      </c>
    </row>
    <row r="66" spans="1:24" x14ac:dyDescent="0.25">
      <c r="A66" s="1">
        <v>45441</v>
      </c>
      <c r="B66" t="s">
        <v>18</v>
      </c>
      <c r="C66" t="s">
        <v>13</v>
      </c>
      <c r="D66" t="s">
        <v>14</v>
      </c>
      <c r="E66">
        <v>124.5</v>
      </c>
      <c r="F66">
        <v>400</v>
      </c>
      <c r="G66">
        <v>900</v>
      </c>
      <c r="J66" t="s">
        <v>15</v>
      </c>
      <c r="K66" t="s">
        <v>16</v>
      </c>
      <c r="L66" t="s">
        <v>42</v>
      </c>
      <c r="M66" t="s">
        <v>19</v>
      </c>
      <c r="N66">
        <v>5</v>
      </c>
      <c r="R66" t="s">
        <v>33</v>
      </c>
      <c r="S66" t="s">
        <v>14</v>
      </c>
      <c r="T66">
        <v>240.75</v>
      </c>
      <c r="U66" t="str">
        <f>_xlfn.IFNA(_xlfn.IFS(E66&gt;Dash!$D$46, "Big", E66&lt;Dash!$D$49, "Small", E66&gt;Dash!$D$47, "Good"), "Norm")</f>
        <v>Small</v>
      </c>
      <c r="V66" t="s">
        <v>20</v>
      </c>
      <c r="W66">
        <v>126</v>
      </c>
      <c r="X66" t="s">
        <v>53</v>
      </c>
    </row>
    <row r="67" spans="1:24" x14ac:dyDescent="0.25">
      <c r="A67" s="1">
        <v>45448</v>
      </c>
      <c r="B67" t="s">
        <v>18</v>
      </c>
      <c r="C67" t="s">
        <v>13</v>
      </c>
      <c r="D67" t="s">
        <v>28</v>
      </c>
      <c r="E67">
        <v>301.5</v>
      </c>
      <c r="F67">
        <v>2200</v>
      </c>
      <c r="G67">
        <v>200</v>
      </c>
      <c r="J67" t="s">
        <v>29</v>
      </c>
      <c r="K67" t="s">
        <v>31</v>
      </c>
      <c r="L67" t="s">
        <v>44</v>
      </c>
      <c r="M67" t="s">
        <v>23</v>
      </c>
      <c r="N67">
        <v>9</v>
      </c>
      <c r="R67" t="s">
        <v>33</v>
      </c>
      <c r="S67" t="s">
        <v>43</v>
      </c>
      <c r="T67">
        <v>107.25</v>
      </c>
      <c r="U67" t="str">
        <f>_xlfn.IFNA(_xlfn.IFS(E67&gt;Dash!$D$46, "Big", E67&lt;Dash!$D$49, "Small", E67&gt;Dash!$D$47, "Good"), "Norm")</f>
        <v>Good</v>
      </c>
      <c r="V67" t="s">
        <v>20</v>
      </c>
      <c r="W67">
        <v>191</v>
      </c>
      <c r="X67">
        <v>1</v>
      </c>
    </row>
    <row r="68" spans="1:24" x14ac:dyDescent="0.25">
      <c r="A68" s="1">
        <v>45455</v>
      </c>
      <c r="B68" t="s">
        <v>18</v>
      </c>
      <c r="C68" t="s">
        <v>13</v>
      </c>
      <c r="D68" t="s">
        <v>28</v>
      </c>
      <c r="E68">
        <v>326</v>
      </c>
      <c r="F68">
        <v>1800</v>
      </c>
      <c r="G68">
        <v>1800</v>
      </c>
      <c r="J68" t="s">
        <v>29</v>
      </c>
      <c r="K68" t="s">
        <v>31</v>
      </c>
      <c r="L68" t="s">
        <v>44</v>
      </c>
      <c r="M68" t="s">
        <v>18</v>
      </c>
      <c r="N68">
        <v>11</v>
      </c>
      <c r="R68" t="s">
        <v>33</v>
      </c>
      <c r="S68" t="s">
        <v>43</v>
      </c>
      <c r="T68">
        <v>191</v>
      </c>
      <c r="U68" t="str">
        <f>_xlfn.IFNA(_xlfn.IFS(E68&gt;Dash!$D$46, "Big", E68&lt;Dash!$D$49, "Small", E68&gt;Dash!$D$47, "Good"), "Norm")</f>
        <v>Good</v>
      </c>
      <c r="V68" t="s">
        <v>33</v>
      </c>
      <c r="W68">
        <v>253</v>
      </c>
      <c r="X68" t="s">
        <v>28</v>
      </c>
    </row>
    <row r="69" spans="1:24" x14ac:dyDescent="0.25">
      <c r="A69" s="1">
        <v>45483</v>
      </c>
      <c r="B69" t="s">
        <v>18</v>
      </c>
      <c r="C69" t="s">
        <v>13</v>
      </c>
      <c r="D69" t="s">
        <v>28</v>
      </c>
      <c r="E69">
        <v>213.75</v>
      </c>
      <c r="F69">
        <v>900</v>
      </c>
      <c r="G69">
        <v>900</v>
      </c>
      <c r="J69" t="s">
        <v>27</v>
      </c>
      <c r="K69" t="s">
        <v>31</v>
      </c>
      <c r="L69" t="s">
        <v>32</v>
      </c>
      <c r="M69" t="s">
        <v>19</v>
      </c>
      <c r="N69">
        <v>9</v>
      </c>
      <c r="R69" t="s">
        <v>33</v>
      </c>
      <c r="S69" t="s">
        <v>48</v>
      </c>
      <c r="T69">
        <v>606.5</v>
      </c>
      <c r="U69" t="str">
        <f>_xlfn.IFNA(_xlfn.IFS(E69&gt;Dash!$D$46, "Big", E69&lt;Dash!$D$49, "Small", E69&gt;Dash!$D$47, "Good"), "Norm")</f>
        <v>Norm</v>
      </c>
      <c r="V69" t="s">
        <v>33</v>
      </c>
      <c r="W69">
        <v>156</v>
      </c>
      <c r="X69" t="s">
        <v>43</v>
      </c>
    </row>
    <row r="70" spans="1:24" x14ac:dyDescent="0.25">
      <c r="A70" s="1">
        <v>45490</v>
      </c>
      <c r="B70" t="s">
        <v>18</v>
      </c>
      <c r="C70" t="s">
        <v>13</v>
      </c>
      <c r="D70" t="s">
        <v>14</v>
      </c>
      <c r="E70">
        <v>332.5</v>
      </c>
      <c r="F70">
        <v>200</v>
      </c>
      <c r="J70" t="s">
        <v>15</v>
      </c>
      <c r="K70" t="s">
        <v>16</v>
      </c>
      <c r="L70" t="s">
        <v>17</v>
      </c>
      <c r="M70" t="s">
        <v>23</v>
      </c>
      <c r="N70">
        <v>5</v>
      </c>
      <c r="R70" t="s">
        <v>20</v>
      </c>
      <c r="S70" t="s">
        <v>14</v>
      </c>
      <c r="T70">
        <v>403.75</v>
      </c>
      <c r="U70" t="str">
        <f>_xlfn.IFNA(_xlfn.IFS(E70&gt;Dash!$D$46, "Big", E70&lt;Dash!$D$49, "Small", E70&gt;Dash!$D$47, "Good"), "Norm")</f>
        <v>Good</v>
      </c>
      <c r="V70" t="s">
        <v>33</v>
      </c>
      <c r="W70">
        <v>220</v>
      </c>
      <c r="X70" t="s">
        <v>46</v>
      </c>
    </row>
    <row r="71" spans="1:24" x14ac:dyDescent="0.25">
      <c r="A71" s="1">
        <v>45497</v>
      </c>
      <c r="B71" t="s">
        <v>18</v>
      </c>
      <c r="C71" t="s">
        <v>13</v>
      </c>
      <c r="D71" t="s">
        <v>47</v>
      </c>
      <c r="E71">
        <v>536.25</v>
      </c>
      <c r="F71">
        <v>1800</v>
      </c>
      <c r="J71" t="s">
        <v>37</v>
      </c>
      <c r="K71" t="s">
        <v>16</v>
      </c>
      <c r="L71" t="s">
        <v>17</v>
      </c>
      <c r="M71" t="s">
        <v>18</v>
      </c>
      <c r="N71">
        <v>5</v>
      </c>
      <c r="R71" t="s">
        <v>33</v>
      </c>
      <c r="S71" t="s">
        <v>14</v>
      </c>
      <c r="T71">
        <v>507.25</v>
      </c>
      <c r="U71" t="str">
        <f>_xlfn.IFNA(_xlfn.IFS(E71&gt;Dash!$D$46, "Big", E71&lt;Dash!$D$49, "Small", E71&gt;Dash!$D$47, "Good"), "Norm")</f>
        <v>Big</v>
      </c>
      <c r="V71" t="s">
        <v>41</v>
      </c>
      <c r="W71">
        <v>180.75</v>
      </c>
      <c r="X71" t="s">
        <v>43</v>
      </c>
    </row>
    <row r="72" spans="1:24" x14ac:dyDescent="0.25">
      <c r="A72" s="1">
        <v>45504</v>
      </c>
      <c r="B72" t="s">
        <v>18</v>
      </c>
      <c r="C72" t="s">
        <v>13</v>
      </c>
      <c r="D72" t="s">
        <v>28</v>
      </c>
      <c r="E72">
        <v>327.5</v>
      </c>
      <c r="F72">
        <v>800</v>
      </c>
      <c r="J72" t="s">
        <v>27</v>
      </c>
      <c r="K72" t="s">
        <v>31</v>
      </c>
      <c r="L72" t="s">
        <v>44</v>
      </c>
      <c r="M72" t="s">
        <v>19</v>
      </c>
      <c r="N72">
        <v>13</v>
      </c>
      <c r="O72" t="s">
        <v>68</v>
      </c>
      <c r="R72" t="s">
        <v>13</v>
      </c>
      <c r="S72" t="s">
        <v>48</v>
      </c>
      <c r="T72">
        <v>813.75</v>
      </c>
      <c r="U72" t="str">
        <f>_xlfn.IFNA(_xlfn.IFS(E72&gt;Dash!$D$46, "Big", E72&lt;Dash!$D$49, "Small", E72&gt;Dash!$D$47, "Good"), "Norm")</f>
        <v>Good</v>
      </c>
      <c r="V72" t="s">
        <v>33</v>
      </c>
      <c r="W72">
        <v>516.75</v>
      </c>
      <c r="X72" t="s">
        <v>14</v>
      </c>
    </row>
    <row r="73" spans="1:24" x14ac:dyDescent="0.25">
      <c r="A73" s="1">
        <v>45595</v>
      </c>
      <c r="B73" t="s">
        <v>18</v>
      </c>
      <c r="C73" t="s">
        <v>13</v>
      </c>
      <c r="D73" t="s">
        <v>14</v>
      </c>
      <c r="E73">
        <v>219.75</v>
      </c>
      <c r="F73">
        <v>2000</v>
      </c>
      <c r="G73">
        <v>2200</v>
      </c>
      <c r="J73" t="s">
        <v>29</v>
      </c>
      <c r="K73" t="s">
        <v>16</v>
      </c>
      <c r="L73" t="s">
        <v>42</v>
      </c>
      <c r="M73" t="s">
        <v>19</v>
      </c>
      <c r="N73">
        <v>11</v>
      </c>
      <c r="O73" t="s">
        <v>76</v>
      </c>
      <c r="R73" t="s">
        <v>13</v>
      </c>
      <c r="S73" t="s">
        <v>14</v>
      </c>
      <c r="T73">
        <v>407.75</v>
      </c>
      <c r="U73" t="str">
        <f>_xlfn.IFNA(_xlfn.IFS(E73&gt;Dash!$D$46, "Big", E73&lt;Dash!$D$49, "Small", E73&gt;Dash!$D$47, "Good"), "Norm")</f>
        <v>Norm</v>
      </c>
      <c r="V73" t="s">
        <v>33</v>
      </c>
      <c r="W73">
        <v>314.25</v>
      </c>
      <c r="X73" t="s">
        <v>38</v>
      </c>
    </row>
    <row r="74" spans="1:24" x14ac:dyDescent="0.25">
      <c r="A74" s="1">
        <v>45602</v>
      </c>
      <c r="B74" t="s">
        <v>18</v>
      </c>
      <c r="C74" t="s">
        <v>13</v>
      </c>
      <c r="D74" t="s">
        <v>28</v>
      </c>
      <c r="E74">
        <v>287</v>
      </c>
      <c r="F74">
        <v>1900</v>
      </c>
      <c r="J74" t="s">
        <v>29</v>
      </c>
      <c r="K74" t="s">
        <v>31</v>
      </c>
      <c r="L74" t="s">
        <v>44</v>
      </c>
      <c r="M74" t="s">
        <v>19</v>
      </c>
      <c r="N74">
        <v>7</v>
      </c>
      <c r="R74" t="s">
        <v>13</v>
      </c>
      <c r="S74" t="s">
        <v>28</v>
      </c>
      <c r="T74">
        <v>294.75</v>
      </c>
      <c r="U74" t="str">
        <f>_xlfn.IFNA(_xlfn.IFS(E74&gt;Dash!$D$46, "Big", E74&lt;Dash!$D$49, "Small", E74&gt;Dash!$D$47, "Good"), "Norm")</f>
        <v>Good</v>
      </c>
      <c r="V74" t="s">
        <v>13</v>
      </c>
      <c r="W74">
        <v>265.25</v>
      </c>
      <c r="X74" t="s">
        <v>28</v>
      </c>
    </row>
    <row r="75" spans="1:24" x14ac:dyDescent="0.25">
      <c r="A75" s="1">
        <v>45623</v>
      </c>
      <c r="B75" t="s">
        <v>18</v>
      </c>
      <c r="C75" t="s">
        <v>13</v>
      </c>
      <c r="D75" t="s">
        <v>14</v>
      </c>
      <c r="E75">
        <v>289.75</v>
      </c>
      <c r="F75">
        <v>1000</v>
      </c>
      <c r="G75">
        <v>1300</v>
      </c>
      <c r="J75" t="s">
        <v>45</v>
      </c>
      <c r="K75" t="s">
        <v>16</v>
      </c>
      <c r="L75" t="s">
        <v>17</v>
      </c>
      <c r="M75" t="s">
        <v>19</v>
      </c>
      <c r="N75">
        <v>5</v>
      </c>
      <c r="R75" t="s">
        <v>33</v>
      </c>
      <c r="S75" t="s">
        <v>28</v>
      </c>
      <c r="T75">
        <v>212</v>
      </c>
      <c r="U75" t="str">
        <f>_xlfn.IFNA(_xlfn.IFS(E75&gt;Dash!$D$46, "Big", E75&lt;Dash!$D$49, "Small", E75&gt;Dash!$D$47, "Good"), "Norm")</f>
        <v>Good</v>
      </c>
      <c r="V75" t="s">
        <v>24</v>
      </c>
      <c r="W75">
        <v>121</v>
      </c>
      <c r="X75" t="s">
        <v>46</v>
      </c>
    </row>
    <row r="76" spans="1:24" x14ac:dyDescent="0.25">
      <c r="A76" s="1">
        <v>45630</v>
      </c>
      <c r="B76" t="s">
        <v>18</v>
      </c>
      <c r="C76" t="s">
        <v>13</v>
      </c>
      <c r="D76" t="s">
        <v>28</v>
      </c>
      <c r="E76">
        <v>160.25</v>
      </c>
      <c r="F76">
        <v>1800</v>
      </c>
      <c r="J76" t="s">
        <v>29</v>
      </c>
      <c r="K76" t="s">
        <v>31</v>
      </c>
      <c r="L76" t="s">
        <v>32</v>
      </c>
      <c r="M76" t="s">
        <v>23</v>
      </c>
      <c r="N76">
        <v>9</v>
      </c>
      <c r="R76" t="s">
        <v>33</v>
      </c>
      <c r="S76" t="s">
        <v>43</v>
      </c>
      <c r="T76">
        <v>108.25</v>
      </c>
      <c r="U76" t="str">
        <f>_xlfn.IFNA(_xlfn.IFS(E76&gt;Dash!$D$46, "Big", E76&lt;Dash!$D$49, "Small", E76&gt;Dash!$D$47, "Good"), "Norm")</f>
        <v>Norm</v>
      </c>
      <c r="V76" t="s">
        <v>33</v>
      </c>
      <c r="W76">
        <v>155.5</v>
      </c>
      <c r="X76" t="s">
        <v>28</v>
      </c>
    </row>
  </sheetData>
  <sortState xmlns:xlrd2="http://schemas.microsoft.com/office/spreadsheetml/2017/richdata2" ref="A4:Y76">
    <sortCondition ref="B4:B76"/>
  </sortState>
  <conditionalFormatting sqref="C1:C1048576 R4:R972">
    <cfRule type="containsText" dxfId="270" priority="19" operator="containsText" text="NY Z Day">
      <formula>NOT(ISERROR(SEARCH("NY Z Day",C1)))</formula>
    </cfRule>
    <cfRule type="containsText" dxfId="269" priority="20" operator="containsText" text="Lon Pivot">
      <formula>NOT(ISERROR(SEARCH("Lon Pivot",C1)))</formula>
    </cfRule>
    <cfRule type="containsText" dxfId="268" priority="21" operator="containsText" text="Screamer">
      <formula>NOT(ISERROR(SEARCH("Screamer",C1)))</formula>
    </cfRule>
    <cfRule type="containsText" dxfId="267" priority="22" operator="containsText" text="Lon Wall">
      <formula>NOT(ISERROR(SEARCH("Lon Wall",C1)))</formula>
    </cfRule>
    <cfRule type="containsText" dxfId="266" priority="23" operator="containsText" text="Asia Wall">
      <formula>NOT(ISERROR(SEARCH("Asia Wall",C1)))</formula>
    </cfRule>
  </conditionalFormatting>
  <conditionalFormatting sqref="M1:O1048576 B4:B744">
    <cfRule type="containsText" dxfId="265" priority="14" operator="containsText" text="Friday">
      <formula>NOT(ISERROR(SEARCH("Friday",B1)))</formula>
    </cfRule>
    <cfRule type="containsText" dxfId="264" priority="15" operator="containsText" text="Thursday">
      <formula>NOT(ISERROR(SEARCH("Thursday",B1)))</formula>
    </cfRule>
    <cfRule type="containsText" dxfId="263" priority="16" operator="containsText" text="Wednesday">
      <formula>NOT(ISERROR(SEARCH("Wednesday",B1)))</formula>
    </cfRule>
    <cfRule type="containsText" dxfId="262" priority="17" operator="containsText" text="Tuesday">
      <formula>NOT(ISERROR(SEARCH("Tuesday",B1)))</formula>
    </cfRule>
    <cfRule type="containsText" dxfId="261" priority="18" operator="containsText" text="Monday">
      <formula>NOT(ISERROR(SEARCH("Monday",B1)))</formula>
    </cfRule>
  </conditionalFormatting>
  <conditionalFormatting sqref="P1:Q2 J1:L1048576">
    <cfRule type="containsText" dxfId="260" priority="24" operator="containsText" text="NYAH">
      <formula>NOT(ISERROR(SEARCH("NYAH",J1)))</formula>
    </cfRule>
    <cfRule type="containsText" dxfId="259" priority="25" operator="containsText" text="NYA">
      <formula>NOT(ISERROR(SEARCH("NYA",J1)))</formula>
    </cfRule>
    <cfRule type="containsText" dxfId="258" priority="26" operator="containsText" text="NYO">
      <formula>NOT(ISERROR(SEARCH("NYO",J1)))</formula>
    </cfRule>
    <cfRule type="containsText" dxfId="257" priority="27" operator="containsText" text="Inside">
      <formula>NOT(ISERROR(SEARCH("Inside",J1)))</formula>
    </cfRule>
    <cfRule type="containsText" dxfId="256" priority="28" operator="containsText" text="Asia">
      <formula>NOT(ISERROR(SEARCH("Asia",J1)))</formula>
    </cfRule>
    <cfRule type="containsText" dxfId="255" priority="29" operator="containsText" text="Lon">
      <formula>NOT(ISERROR(SEARCH("Lon",J1)))</formula>
    </cfRule>
  </conditionalFormatting>
  <conditionalFormatting sqref="R1:R2">
    <cfRule type="containsText" dxfId="254" priority="9" operator="containsText" text="Friday">
      <formula>NOT(ISERROR(SEARCH("Friday",R1)))</formula>
    </cfRule>
    <cfRule type="containsText" dxfId="253" priority="10" operator="containsText" text="Thursday">
      <formula>NOT(ISERROR(SEARCH("Thursday",R1)))</formula>
    </cfRule>
    <cfRule type="containsText" dxfId="252" priority="11" operator="containsText" text="Wednesday">
      <formula>NOT(ISERROR(SEARCH("Wednesday",R1)))</formula>
    </cfRule>
    <cfRule type="containsText" dxfId="251" priority="12" operator="containsText" text="Tuesday">
      <formula>NOT(ISERROR(SEARCH("Tuesday",R1)))</formula>
    </cfRule>
    <cfRule type="containsText" dxfId="250" priority="13" operator="containsText" text="Monday">
      <formula>NOT(ISERROR(SEARCH("Monday",R1)))</formula>
    </cfRule>
  </conditionalFormatting>
  <conditionalFormatting sqref="U4:U76">
    <cfRule type="cellIs" dxfId="249" priority="1" operator="equal">
      <formula>"Good"</formula>
    </cfRule>
  </conditionalFormatting>
  <conditionalFormatting sqref="U4:U1048576">
    <cfRule type="cellIs" dxfId="248" priority="2" operator="equal">
      <formula>"Big"</formula>
    </cfRule>
    <cfRule type="cellIs" dxfId="247" priority="3" operator="equal">
      <formula>"Small"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4D8D-75D1-42F9-B045-720E535C9794}">
  <dimension ref="A1:X56"/>
  <sheetViews>
    <sheetView topLeftCell="A27" workbookViewId="0">
      <selection activeCell="R48" sqref="R48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45240</v>
      </c>
      <c r="B4" t="s">
        <v>26</v>
      </c>
      <c r="C4" t="s">
        <v>20</v>
      </c>
      <c r="D4" t="s">
        <v>38</v>
      </c>
      <c r="E4">
        <v>339.25</v>
      </c>
      <c r="F4">
        <v>1800</v>
      </c>
      <c r="G4">
        <v>2000</v>
      </c>
      <c r="H4">
        <v>1200</v>
      </c>
      <c r="J4" t="s">
        <v>37</v>
      </c>
      <c r="K4" t="s">
        <v>39</v>
      </c>
      <c r="L4" t="s">
        <v>44</v>
      </c>
      <c r="M4" t="s">
        <v>19</v>
      </c>
      <c r="N4">
        <v>5</v>
      </c>
      <c r="P4">
        <v>600</v>
      </c>
      <c r="Q4">
        <v>900</v>
      </c>
      <c r="R4" t="s">
        <v>24</v>
      </c>
      <c r="S4">
        <v>1</v>
      </c>
      <c r="T4">
        <v>124.25</v>
      </c>
      <c r="U4" t="str">
        <f>_xlfn.IFNA(_xlfn.IFS(E4&gt;Dash!$D$46, "Big", E4&lt;Dash!$D$49, "Small", E4&gt;Dash!$D$47, "Good"), "Norm")</f>
        <v>Good</v>
      </c>
      <c r="V4" t="s">
        <v>33</v>
      </c>
      <c r="W4">
        <v>217</v>
      </c>
      <c r="X4" t="s">
        <v>43</v>
      </c>
    </row>
    <row r="5" spans="1:24" x14ac:dyDescent="0.25">
      <c r="A5" s="1">
        <v>45317</v>
      </c>
      <c r="B5" t="s">
        <v>26</v>
      </c>
      <c r="C5" t="s">
        <v>20</v>
      </c>
      <c r="D5" t="s">
        <v>14</v>
      </c>
      <c r="E5">
        <v>128.5</v>
      </c>
      <c r="F5">
        <v>1800</v>
      </c>
      <c r="G5">
        <v>600</v>
      </c>
      <c r="J5" t="s">
        <v>37</v>
      </c>
      <c r="K5" t="s">
        <v>39</v>
      </c>
      <c r="L5" t="s">
        <v>32</v>
      </c>
      <c r="M5" t="s">
        <v>18</v>
      </c>
      <c r="N5">
        <v>5</v>
      </c>
      <c r="R5" t="s">
        <v>13</v>
      </c>
      <c r="S5" t="s">
        <v>38</v>
      </c>
      <c r="T5">
        <v>196.5</v>
      </c>
      <c r="U5" t="str">
        <f>_xlfn.IFNA(_xlfn.IFS(E5&gt;Dash!$D$46, "Big", E5&lt;Dash!$D$49, "Small", E5&gt;Dash!$D$47, "Good"), "Norm")</f>
        <v>Small</v>
      </c>
      <c r="V5" t="s">
        <v>33</v>
      </c>
      <c r="W5">
        <v>210</v>
      </c>
      <c r="X5" t="s">
        <v>46</v>
      </c>
    </row>
    <row r="6" spans="1:24" x14ac:dyDescent="0.25">
      <c r="A6" s="1">
        <v>45352</v>
      </c>
      <c r="B6" t="s">
        <v>26</v>
      </c>
      <c r="C6" t="s">
        <v>20</v>
      </c>
      <c r="D6" t="s">
        <v>28</v>
      </c>
      <c r="E6">
        <v>302.25</v>
      </c>
      <c r="F6">
        <v>2000</v>
      </c>
      <c r="G6">
        <v>500</v>
      </c>
      <c r="J6" t="s">
        <v>29</v>
      </c>
      <c r="K6" t="s">
        <v>39</v>
      </c>
      <c r="L6" t="s">
        <v>32</v>
      </c>
      <c r="M6" t="s">
        <v>19</v>
      </c>
      <c r="N6">
        <v>7</v>
      </c>
      <c r="R6" t="s">
        <v>20</v>
      </c>
      <c r="S6" t="s">
        <v>43</v>
      </c>
      <c r="T6">
        <v>98.75</v>
      </c>
      <c r="U6" t="str">
        <f>_xlfn.IFNA(_xlfn.IFS(E6&gt;Dash!$D$46, "Big", E6&lt;Dash!$D$49, "Small", E6&gt;Dash!$D$47, "Good"), "Norm")</f>
        <v>Good</v>
      </c>
      <c r="V6" t="s">
        <v>20</v>
      </c>
      <c r="W6">
        <v>250</v>
      </c>
      <c r="X6" t="s">
        <v>38</v>
      </c>
    </row>
    <row r="7" spans="1:24" x14ac:dyDescent="0.25">
      <c r="A7" s="1">
        <v>45366</v>
      </c>
      <c r="B7" t="s">
        <v>26</v>
      </c>
      <c r="C7" t="s">
        <v>20</v>
      </c>
      <c r="D7" t="s">
        <v>14</v>
      </c>
      <c r="E7">
        <v>277.25</v>
      </c>
      <c r="F7">
        <v>900</v>
      </c>
      <c r="J7" t="s">
        <v>45</v>
      </c>
      <c r="K7" t="s">
        <v>22</v>
      </c>
      <c r="L7" t="s">
        <v>17</v>
      </c>
      <c r="M7" t="s">
        <v>19</v>
      </c>
      <c r="N7">
        <v>12</v>
      </c>
      <c r="O7" t="s">
        <v>67</v>
      </c>
      <c r="R7" t="s">
        <v>24</v>
      </c>
      <c r="S7" t="s">
        <v>43</v>
      </c>
      <c r="T7">
        <v>162</v>
      </c>
      <c r="U7" t="str">
        <f>_xlfn.IFNA(_xlfn.IFS(E7&gt;Dash!$D$46, "Big", E7&lt;Dash!$D$49, "Small", E7&gt;Dash!$D$47, "Good"), "Norm")</f>
        <v>Good</v>
      </c>
      <c r="V7" t="s">
        <v>20</v>
      </c>
      <c r="W7">
        <v>252.75</v>
      </c>
      <c r="X7" t="s">
        <v>14</v>
      </c>
    </row>
    <row r="8" spans="1:24" x14ac:dyDescent="0.25">
      <c r="A8" s="1">
        <v>45394</v>
      </c>
      <c r="B8" t="s">
        <v>26</v>
      </c>
      <c r="C8" t="s">
        <v>20</v>
      </c>
      <c r="D8">
        <v>1</v>
      </c>
      <c r="E8">
        <v>309</v>
      </c>
      <c r="J8" t="s">
        <v>34</v>
      </c>
      <c r="K8" t="s">
        <v>22</v>
      </c>
      <c r="L8" t="s">
        <v>17</v>
      </c>
      <c r="M8" t="s">
        <v>18</v>
      </c>
      <c r="N8">
        <v>9</v>
      </c>
      <c r="R8" t="s">
        <v>33</v>
      </c>
      <c r="S8" t="s">
        <v>14</v>
      </c>
      <c r="T8">
        <v>509.25</v>
      </c>
      <c r="U8" t="str">
        <f>_xlfn.IFNA(_xlfn.IFS(E8&gt;Dash!$D$46, "Big", E8&lt;Dash!$D$49, "Small", E8&gt;Dash!$D$47, "Good"), "Norm")</f>
        <v>Good</v>
      </c>
      <c r="V8" t="s">
        <v>33</v>
      </c>
      <c r="W8">
        <v>430.75</v>
      </c>
      <c r="X8" t="s">
        <v>28</v>
      </c>
    </row>
    <row r="9" spans="1:24" x14ac:dyDescent="0.25">
      <c r="A9" s="1">
        <v>45457</v>
      </c>
      <c r="B9" t="s">
        <v>26</v>
      </c>
      <c r="C9" t="s">
        <v>20</v>
      </c>
      <c r="D9" t="s">
        <v>28</v>
      </c>
      <c r="E9">
        <v>159.25</v>
      </c>
      <c r="F9">
        <v>1500</v>
      </c>
      <c r="J9" t="s">
        <v>49</v>
      </c>
      <c r="K9" t="s">
        <v>39</v>
      </c>
      <c r="L9" t="s">
        <v>44</v>
      </c>
      <c r="M9" t="s">
        <v>18</v>
      </c>
      <c r="N9">
        <v>11</v>
      </c>
      <c r="R9" t="s">
        <v>33</v>
      </c>
      <c r="S9" t="s">
        <v>40</v>
      </c>
      <c r="T9">
        <v>367.25</v>
      </c>
      <c r="U9" t="str">
        <f>_xlfn.IFNA(_xlfn.IFS(E9&gt;Dash!$D$46, "Big", E9&lt;Dash!$D$49, "Small", E9&gt;Dash!$D$47, "Good"), "Norm")</f>
        <v>Norm</v>
      </c>
      <c r="V9" t="s">
        <v>33</v>
      </c>
      <c r="W9">
        <v>191</v>
      </c>
      <c r="X9" t="s">
        <v>43</v>
      </c>
    </row>
    <row r="10" spans="1:24" x14ac:dyDescent="0.25">
      <c r="A10" s="1">
        <v>45492</v>
      </c>
      <c r="B10" t="s">
        <v>26</v>
      </c>
      <c r="C10" t="s">
        <v>20</v>
      </c>
      <c r="D10" t="s">
        <v>14</v>
      </c>
      <c r="E10">
        <v>322.5</v>
      </c>
      <c r="F10">
        <v>300</v>
      </c>
      <c r="G10">
        <v>300</v>
      </c>
      <c r="J10" t="s">
        <v>15</v>
      </c>
      <c r="K10" t="s">
        <v>22</v>
      </c>
      <c r="L10" t="s">
        <v>17</v>
      </c>
      <c r="M10" t="s">
        <v>23</v>
      </c>
      <c r="N10">
        <v>5</v>
      </c>
      <c r="O10" t="s">
        <v>61</v>
      </c>
      <c r="R10" t="s">
        <v>13</v>
      </c>
      <c r="S10" t="s">
        <v>28</v>
      </c>
      <c r="T10">
        <v>235</v>
      </c>
      <c r="U10" t="str">
        <f>_xlfn.IFNA(_xlfn.IFS(E10&gt;Dash!$D$46, "Big", E10&lt;Dash!$D$49, "Small", E10&gt;Dash!$D$47, "Good"), "Norm")</f>
        <v>Good</v>
      </c>
      <c r="V10" t="s">
        <v>20</v>
      </c>
      <c r="W10">
        <v>403.75</v>
      </c>
      <c r="X10" t="s">
        <v>14</v>
      </c>
    </row>
    <row r="11" spans="1:24" x14ac:dyDescent="0.25">
      <c r="A11" s="1">
        <v>45604</v>
      </c>
      <c r="B11" t="s">
        <v>26</v>
      </c>
      <c r="C11" t="s">
        <v>20</v>
      </c>
      <c r="D11" t="s">
        <v>28</v>
      </c>
      <c r="E11">
        <v>108.75</v>
      </c>
      <c r="F11">
        <v>0</v>
      </c>
      <c r="G11">
        <v>0</v>
      </c>
      <c r="J11" t="s">
        <v>29</v>
      </c>
      <c r="K11" t="s">
        <v>39</v>
      </c>
      <c r="L11" t="s">
        <v>32</v>
      </c>
      <c r="M11" t="s">
        <v>19</v>
      </c>
      <c r="N11">
        <v>7</v>
      </c>
      <c r="R11" t="s">
        <v>33</v>
      </c>
      <c r="S11" t="s">
        <v>48</v>
      </c>
      <c r="T11">
        <v>242.5</v>
      </c>
      <c r="U11" t="str">
        <f>_xlfn.IFNA(_xlfn.IFS(E11&gt;Dash!$D$46, "Big", E11&lt;Dash!$D$49, "Small", E11&gt;Dash!$D$47, "Good"), "Norm")</f>
        <v>Small</v>
      </c>
      <c r="V11" t="s">
        <v>13</v>
      </c>
      <c r="W11">
        <v>294.75</v>
      </c>
      <c r="X11" t="s">
        <v>28</v>
      </c>
    </row>
    <row r="12" spans="1:24" x14ac:dyDescent="0.25">
      <c r="A12" s="1">
        <v>45618</v>
      </c>
      <c r="B12" t="s">
        <v>26</v>
      </c>
      <c r="C12" t="s">
        <v>20</v>
      </c>
      <c r="D12">
        <v>1</v>
      </c>
      <c r="E12">
        <v>157.75</v>
      </c>
      <c r="J12" t="s">
        <v>34</v>
      </c>
      <c r="K12" t="s">
        <v>39</v>
      </c>
      <c r="L12" t="s">
        <v>32</v>
      </c>
      <c r="M12" t="s">
        <v>36</v>
      </c>
      <c r="N12">
        <v>3</v>
      </c>
      <c r="R12" t="s">
        <v>33</v>
      </c>
      <c r="S12" t="s">
        <v>43</v>
      </c>
      <c r="T12">
        <v>300.75</v>
      </c>
      <c r="U12" t="str">
        <f>_xlfn.IFNA(_xlfn.IFS(E12&gt;Dash!$D$46, "Big", E12&lt;Dash!$D$49, "Small", E12&gt;Dash!$D$47, "Good"), "Norm")</f>
        <v>Norm</v>
      </c>
      <c r="V12" t="s">
        <v>33</v>
      </c>
      <c r="W12">
        <v>391.5</v>
      </c>
      <c r="X12" t="s">
        <v>28</v>
      </c>
    </row>
    <row r="13" spans="1:24" x14ac:dyDescent="0.25">
      <c r="A13" s="1">
        <v>45646</v>
      </c>
      <c r="B13" t="s">
        <v>26</v>
      </c>
      <c r="C13" t="s">
        <v>20</v>
      </c>
      <c r="D13" t="s">
        <v>38</v>
      </c>
      <c r="E13">
        <v>741.75</v>
      </c>
      <c r="F13">
        <v>1900</v>
      </c>
      <c r="G13">
        <v>1000</v>
      </c>
      <c r="H13">
        <v>1100</v>
      </c>
      <c r="I13">
        <v>1300</v>
      </c>
      <c r="J13" t="s">
        <v>37</v>
      </c>
      <c r="K13" t="s">
        <v>39</v>
      </c>
      <c r="L13" t="s">
        <v>32</v>
      </c>
      <c r="M13" t="s">
        <v>23</v>
      </c>
      <c r="N13">
        <v>11</v>
      </c>
      <c r="O13" t="s">
        <v>67</v>
      </c>
      <c r="R13" t="s">
        <v>33</v>
      </c>
      <c r="S13">
        <v>1</v>
      </c>
      <c r="T13">
        <v>300</v>
      </c>
      <c r="U13" t="str">
        <f>_xlfn.IFNA(_xlfn.IFS(E13&gt;Dash!$D$46, "Big", E13&lt;Dash!$D$49, "Small", E13&gt;Dash!$D$47, "Good"), "Norm")</f>
        <v>Big</v>
      </c>
      <c r="V13" t="s">
        <v>33</v>
      </c>
      <c r="W13">
        <v>334.75</v>
      </c>
      <c r="X13">
        <v>1</v>
      </c>
    </row>
    <row r="14" spans="1:24" x14ac:dyDescent="0.25">
      <c r="A14" s="1">
        <v>45187</v>
      </c>
      <c r="B14" t="s">
        <v>23</v>
      </c>
      <c r="C14" t="s">
        <v>20</v>
      </c>
      <c r="D14" t="s">
        <v>46</v>
      </c>
      <c r="E14">
        <v>124</v>
      </c>
      <c r="F14">
        <v>700</v>
      </c>
      <c r="G14">
        <v>800</v>
      </c>
      <c r="J14" t="s">
        <v>15</v>
      </c>
      <c r="K14" t="s">
        <v>39</v>
      </c>
      <c r="L14" t="s">
        <v>32</v>
      </c>
      <c r="M14" t="s">
        <v>18</v>
      </c>
      <c r="N14">
        <v>7</v>
      </c>
      <c r="P14">
        <v>1200</v>
      </c>
      <c r="Q14">
        <v>1400</v>
      </c>
      <c r="R14" t="s">
        <v>33</v>
      </c>
      <c r="S14" t="s">
        <v>14</v>
      </c>
      <c r="T14">
        <v>179.5</v>
      </c>
      <c r="U14" t="str">
        <f>_xlfn.IFNA(_xlfn.IFS(E14&gt;Dash!$D$46, "Big", E14&lt;Dash!$D$49, "Small", E14&gt;Dash!$D$47, "Good"), "Norm")</f>
        <v>Small</v>
      </c>
      <c r="V14" t="s">
        <v>13</v>
      </c>
      <c r="W14">
        <v>121.5</v>
      </c>
      <c r="X14" t="s">
        <v>43</v>
      </c>
    </row>
    <row r="15" spans="1:24" x14ac:dyDescent="0.25">
      <c r="A15" s="1">
        <v>45215</v>
      </c>
      <c r="B15" t="s">
        <v>23</v>
      </c>
      <c r="C15" t="s">
        <v>20</v>
      </c>
      <c r="D15">
        <v>1</v>
      </c>
      <c r="E15">
        <v>211.75</v>
      </c>
      <c r="J15" t="s">
        <v>34</v>
      </c>
      <c r="K15" t="s">
        <v>39</v>
      </c>
      <c r="L15" t="s">
        <v>32</v>
      </c>
      <c r="M15" t="s">
        <v>23</v>
      </c>
      <c r="N15">
        <v>5</v>
      </c>
      <c r="P15">
        <v>1300</v>
      </c>
      <c r="Q15">
        <v>1500</v>
      </c>
      <c r="R15" t="s">
        <v>33</v>
      </c>
      <c r="S15" t="s">
        <v>14</v>
      </c>
      <c r="T15">
        <v>259</v>
      </c>
      <c r="U15" t="str">
        <f>_xlfn.IFNA(_xlfn.IFS(E15&gt;Dash!$D$46, "Big", E15&lt;Dash!$D$49, "Small", E15&gt;Dash!$D$47, "Good"), "Norm")</f>
        <v>Norm</v>
      </c>
      <c r="V15" t="s">
        <v>33</v>
      </c>
      <c r="W15">
        <v>304.5</v>
      </c>
      <c r="X15" t="s">
        <v>14</v>
      </c>
    </row>
    <row r="16" spans="1:24" x14ac:dyDescent="0.25">
      <c r="A16" s="1">
        <v>45299</v>
      </c>
      <c r="B16" t="s">
        <v>23</v>
      </c>
      <c r="C16" t="s">
        <v>20</v>
      </c>
      <c r="D16" t="s">
        <v>28</v>
      </c>
      <c r="E16">
        <v>341.75</v>
      </c>
      <c r="F16">
        <v>900</v>
      </c>
      <c r="J16" t="s">
        <v>27</v>
      </c>
      <c r="K16" t="s">
        <v>39</v>
      </c>
      <c r="L16" t="s">
        <v>32</v>
      </c>
      <c r="M16" t="s">
        <v>36</v>
      </c>
      <c r="N16">
        <v>6</v>
      </c>
      <c r="R16" t="s">
        <v>33</v>
      </c>
      <c r="S16" t="s">
        <v>28</v>
      </c>
      <c r="T16">
        <v>210.75</v>
      </c>
      <c r="U16" t="str">
        <f>_xlfn.IFNA(_xlfn.IFS(E16&gt;Dash!$D$46, "Big", E16&lt;Dash!$D$49, "Small", E16&gt;Dash!$D$47, "Good"), "Norm")</f>
        <v>Good</v>
      </c>
      <c r="V16" t="s">
        <v>33</v>
      </c>
      <c r="W16">
        <v>243</v>
      </c>
      <c r="X16" t="s">
        <v>46</v>
      </c>
    </row>
    <row r="17" spans="1:24" x14ac:dyDescent="0.25">
      <c r="A17" s="1">
        <v>45355</v>
      </c>
      <c r="B17" t="s">
        <v>23</v>
      </c>
      <c r="C17" t="s">
        <v>20</v>
      </c>
      <c r="D17" t="s">
        <v>43</v>
      </c>
      <c r="E17">
        <v>98.75</v>
      </c>
      <c r="F17">
        <v>400</v>
      </c>
      <c r="G17">
        <v>400</v>
      </c>
      <c r="J17" t="s">
        <v>30</v>
      </c>
      <c r="K17" t="s">
        <v>22</v>
      </c>
      <c r="L17" t="s">
        <v>42</v>
      </c>
      <c r="M17" t="s">
        <v>19</v>
      </c>
      <c r="N17">
        <v>9</v>
      </c>
      <c r="R17" t="s">
        <v>13</v>
      </c>
      <c r="S17" t="s">
        <v>14</v>
      </c>
      <c r="T17">
        <v>343.25</v>
      </c>
      <c r="U17" t="str">
        <f>_xlfn.IFNA(_xlfn.IFS(E17&gt;Dash!$D$46, "Big", E17&lt;Dash!$D$49, "Small", E17&gt;Dash!$D$47, "Good"), "Norm")</f>
        <v>Small</v>
      </c>
      <c r="V17" t="s">
        <v>20</v>
      </c>
      <c r="W17">
        <v>302.25</v>
      </c>
      <c r="X17" t="s">
        <v>28</v>
      </c>
    </row>
    <row r="18" spans="1:24" x14ac:dyDescent="0.25">
      <c r="A18" s="1">
        <v>45453</v>
      </c>
      <c r="B18" t="s">
        <v>23</v>
      </c>
      <c r="C18" t="s">
        <v>20</v>
      </c>
      <c r="D18">
        <v>1</v>
      </c>
      <c r="E18">
        <v>152</v>
      </c>
      <c r="J18" t="s">
        <v>34</v>
      </c>
      <c r="K18" t="s">
        <v>39</v>
      </c>
      <c r="L18" t="s">
        <v>32</v>
      </c>
      <c r="M18" t="s">
        <v>18</v>
      </c>
      <c r="N18">
        <v>11</v>
      </c>
      <c r="R18" t="s">
        <v>33</v>
      </c>
      <c r="S18" t="s">
        <v>28</v>
      </c>
      <c r="T18">
        <v>253</v>
      </c>
      <c r="U18" t="str">
        <f>_xlfn.IFNA(_xlfn.IFS(E18&gt;Dash!$D$46, "Big", E18&lt;Dash!$D$49, "Small", E18&gt;Dash!$D$47, "Good"), "Norm")</f>
        <v>Small</v>
      </c>
      <c r="V18" t="s">
        <v>33</v>
      </c>
      <c r="W18">
        <v>215</v>
      </c>
      <c r="X18" t="s">
        <v>48</v>
      </c>
    </row>
    <row r="19" spans="1:24" x14ac:dyDescent="0.25">
      <c r="A19" s="1">
        <v>45523</v>
      </c>
      <c r="B19" t="s">
        <v>23</v>
      </c>
      <c r="C19" t="s">
        <v>20</v>
      </c>
      <c r="D19" t="s">
        <v>28</v>
      </c>
      <c r="E19">
        <v>332.25</v>
      </c>
      <c r="F19">
        <v>2300</v>
      </c>
      <c r="G19">
        <v>2300</v>
      </c>
      <c r="J19" t="s">
        <v>29</v>
      </c>
      <c r="K19" t="s">
        <v>39</v>
      </c>
      <c r="L19" t="s">
        <v>44</v>
      </c>
      <c r="M19" t="s">
        <v>18</v>
      </c>
      <c r="N19">
        <v>6</v>
      </c>
      <c r="R19" t="s">
        <v>41</v>
      </c>
      <c r="S19" t="s">
        <v>43</v>
      </c>
      <c r="T19">
        <v>182</v>
      </c>
      <c r="U19" t="str">
        <f>_xlfn.IFNA(_xlfn.IFS(E19&gt;Dash!$D$46, "Big", E19&lt;Dash!$D$49, "Small", E19&gt;Dash!$D$47, "Good"), "Norm")</f>
        <v>Good</v>
      </c>
      <c r="V19" t="s">
        <v>41</v>
      </c>
      <c r="W19">
        <v>213.25</v>
      </c>
      <c r="X19" t="s">
        <v>28</v>
      </c>
    </row>
    <row r="20" spans="1:24" x14ac:dyDescent="0.25">
      <c r="A20" s="1">
        <v>45593</v>
      </c>
      <c r="B20" t="s">
        <v>23</v>
      </c>
      <c r="C20" t="s">
        <v>20</v>
      </c>
      <c r="D20">
        <v>1</v>
      </c>
      <c r="E20">
        <v>179.75</v>
      </c>
      <c r="J20" t="s">
        <v>34</v>
      </c>
      <c r="K20" t="s">
        <v>22</v>
      </c>
      <c r="L20" t="s">
        <v>17</v>
      </c>
      <c r="M20" t="s">
        <v>19</v>
      </c>
      <c r="N20">
        <v>11</v>
      </c>
      <c r="R20" t="s">
        <v>33</v>
      </c>
      <c r="S20" t="s">
        <v>38</v>
      </c>
      <c r="T20">
        <v>314.25</v>
      </c>
      <c r="U20" t="str">
        <f>_xlfn.IFNA(_xlfn.IFS(E20&gt;Dash!$D$46, "Big", E20&lt;Dash!$D$49, "Small", E20&gt;Dash!$D$47, "Good"), "Norm")</f>
        <v>Norm</v>
      </c>
      <c r="V20" t="s">
        <v>24</v>
      </c>
      <c r="W20">
        <v>264.25</v>
      </c>
      <c r="X20" t="s">
        <v>28</v>
      </c>
    </row>
    <row r="21" spans="1:24" x14ac:dyDescent="0.25">
      <c r="A21" s="1">
        <v>45267</v>
      </c>
      <c r="B21" t="s">
        <v>36</v>
      </c>
      <c r="C21" t="s">
        <v>20</v>
      </c>
      <c r="D21" t="s">
        <v>38</v>
      </c>
      <c r="E21">
        <v>221.5</v>
      </c>
      <c r="F21">
        <v>2000</v>
      </c>
      <c r="G21">
        <v>2000</v>
      </c>
      <c r="H21">
        <v>1200</v>
      </c>
      <c r="J21" t="s">
        <v>37</v>
      </c>
      <c r="K21" t="s">
        <v>39</v>
      </c>
      <c r="L21" t="s">
        <v>32</v>
      </c>
      <c r="M21" t="s">
        <v>19</v>
      </c>
      <c r="N21">
        <v>8</v>
      </c>
      <c r="P21">
        <v>200</v>
      </c>
      <c r="Q21">
        <v>1400</v>
      </c>
      <c r="R21" t="s">
        <v>33</v>
      </c>
      <c r="S21" t="s">
        <v>28</v>
      </c>
      <c r="T21">
        <v>230.5</v>
      </c>
      <c r="U21" t="str">
        <f>_xlfn.IFNA(_xlfn.IFS(E21&gt;Dash!$D$46, "Big", E21&lt;Dash!$D$49, "Small", E21&gt;Dash!$D$47, "Good"), "Norm")</f>
        <v>Norm</v>
      </c>
      <c r="V21" t="s">
        <v>33</v>
      </c>
      <c r="W21">
        <v>235.75</v>
      </c>
      <c r="X21" t="s">
        <v>43</v>
      </c>
    </row>
    <row r="22" spans="1:24" x14ac:dyDescent="0.25">
      <c r="A22" s="1">
        <v>45295</v>
      </c>
      <c r="B22" t="s">
        <v>36</v>
      </c>
      <c r="C22" t="s">
        <v>20</v>
      </c>
      <c r="D22" t="s">
        <v>14</v>
      </c>
      <c r="E22">
        <v>147.75</v>
      </c>
      <c r="F22">
        <v>700</v>
      </c>
      <c r="J22" t="s">
        <v>15</v>
      </c>
      <c r="K22" t="s">
        <v>22</v>
      </c>
      <c r="L22" t="s">
        <v>17</v>
      </c>
      <c r="M22" t="s">
        <v>18</v>
      </c>
      <c r="N22">
        <v>8</v>
      </c>
      <c r="R22" t="s">
        <v>33</v>
      </c>
      <c r="S22" t="s">
        <v>46</v>
      </c>
      <c r="T22">
        <v>243</v>
      </c>
      <c r="U22" t="str">
        <f>_xlfn.IFNA(_xlfn.IFS(E22&gt;Dash!$D$46, "Big", E22&lt;Dash!$D$49, "Small", E22&gt;Dash!$D$47, "Good"), "Norm")</f>
        <v>Small</v>
      </c>
      <c r="V22" t="s">
        <v>13</v>
      </c>
      <c r="W22">
        <v>131.5</v>
      </c>
      <c r="X22" t="s">
        <v>14</v>
      </c>
    </row>
    <row r="23" spans="1:24" x14ac:dyDescent="0.25">
      <c r="A23" s="1">
        <v>45323</v>
      </c>
      <c r="B23" t="s">
        <v>36</v>
      </c>
      <c r="C23" t="s">
        <v>20</v>
      </c>
      <c r="D23" t="s">
        <v>28</v>
      </c>
      <c r="E23">
        <v>189.25</v>
      </c>
      <c r="F23">
        <v>1600</v>
      </c>
      <c r="J23" t="s">
        <v>54</v>
      </c>
      <c r="K23" t="s">
        <v>39</v>
      </c>
      <c r="L23" t="s">
        <v>44</v>
      </c>
      <c r="M23" t="s">
        <v>19</v>
      </c>
      <c r="N23">
        <v>13</v>
      </c>
      <c r="O23" t="s">
        <v>65</v>
      </c>
      <c r="R23" t="s">
        <v>33</v>
      </c>
      <c r="S23" t="s">
        <v>28</v>
      </c>
      <c r="T23">
        <v>310</v>
      </c>
      <c r="U23" t="str">
        <f>_xlfn.IFNA(_xlfn.IFS(E23&gt;Dash!$D$46, "Big", E23&lt;Dash!$D$49, "Small", E23&gt;Dash!$D$47, "Good"), "Norm")</f>
        <v>Norm</v>
      </c>
      <c r="V23">
        <v>0</v>
      </c>
      <c r="W23">
        <v>253.5</v>
      </c>
      <c r="X23" t="s">
        <v>47</v>
      </c>
    </row>
    <row r="24" spans="1:24" x14ac:dyDescent="0.25">
      <c r="A24" s="1">
        <v>45351</v>
      </c>
      <c r="B24" t="s">
        <v>36</v>
      </c>
      <c r="C24" t="s">
        <v>20</v>
      </c>
      <c r="D24" t="s">
        <v>38</v>
      </c>
      <c r="E24">
        <v>250</v>
      </c>
      <c r="F24">
        <v>300</v>
      </c>
      <c r="G24">
        <v>300</v>
      </c>
      <c r="H24">
        <v>900</v>
      </c>
      <c r="I24">
        <v>1000</v>
      </c>
      <c r="J24" t="s">
        <v>15</v>
      </c>
      <c r="K24" t="s">
        <v>39</v>
      </c>
      <c r="L24" t="s">
        <v>32</v>
      </c>
      <c r="M24" t="s">
        <v>19</v>
      </c>
      <c r="N24">
        <v>7</v>
      </c>
      <c r="R24" t="s">
        <v>20</v>
      </c>
      <c r="S24" t="s">
        <v>28</v>
      </c>
      <c r="T24">
        <v>302.25</v>
      </c>
      <c r="U24" t="str">
        <f>_xlfn.IFNA(_xlfn.IFS(E24&gt;Dash!$D$46, "Big", E24&lt;Dash!$D$49, "Small", E24&gt;Dash!$D$47, "Good"), "Norm")</f>
        <v>Norm</v>
      </c>
      <c r="V24" t="s">
        <v>13</v>
      </c>
      <c r="W24">
        <v>99</v>
      </c>
      <c r="X24" t="s">
        <v>14</v>
      </c>
    </row>
    <row r="25" spans="1:24" x14ac:dyDescent="0.25">
      <c r="A25" s="1">
        <v>45358</v>
      </c>
      <c r="B25" t="s">
        <v>36</v>
      </c>
      <c r="C25" t="s">
        <v>20</v>
      </c>
      <c r="D25" t="s">
        <v>38</v>
      </c>
      <c r="E25">
        <v>254.75</v>
      </c>
      <c r="F25">
        <v>2100</v>
      </c>
      <c r="G25">
        <v>2100</v>
      </c>
      <c r="H25">
        <v>900</v>
      </c>
      <c r="J25" t="s">
        <v>37</v>
      </c>
      <c r="K25" t="s">
        <v>39</v>
      </c>
      <c r="L25" t="s">
        <v>32</v>
      </c>
      <c r="M25" t="s">
        <v>19</v>
      </c>
      <c r="N25">
        <v>9</v>
      </c>
      <c r="R25" t="s">
        <v>33</v>
      </c>
      <c r="S25" t="s">
        <v>43</v>
      </c>
      <c r="T25">
        <v>424</v>
      </c>
      <c r="U25" t="str">
        <f>_xlfn.IFNA(_xlfn.IFS(E25&gt;Dash!$D$46, "Big", E25&lt;Dash!$D$49, "Small", E25&gt;Dash!$D$47, "Good"), "Norm")</f>
        <v>Good</v>
      </c>
      <c r="V25" t="s">
        <v>13</v>
      </c>
      <c r="W25">
        <v>210.75</v>
      </c>
      <c r="X25">
        <v>1</v>
      </c>
    </row>
    <row r="26" spans="1:24" x14ac:dyDescent="0.25">
      <c r="A26" s="1">
        <v>45365</v>
      </c>
      <c r="B26" t="s">
        <v>36</v>
      </c>
      <c r="C26" t="s">
        <v>20</v>
      </c>
      <c r="D26" t="s">
        <v>14</v>
      </c>
      <c r="E26">
        <v>252.75</v>
      </c>
      <c r="F26">
        <v>900</v>
      </c>
      <c r="G26">
        <v>1000</v>
      </c>
      <c r="J26" t="s">
        <v>45</v>
      </c>
      <c r="K26" t="s">
        <v>22</v>
      </c>
      <c r="L26" t="s">
        <v>17</v>
      </c>
      <c r="M26" t="s">
        <v>19</v>
      </c>
      <c r="N26">
        <v>12</v>
      </c>
      <c r="R26" t="s">
        <v>20</v>
      </c>
      <c r="S26" t="s">
        <v>14</v>
      </c>
      <c r="T26">
        <v>277.25</v>
      </c>
      <c r="U26" t="str">
        <f>_xlfn.IFNA(_xlfn.IFS(E26&gt;Dash!$D$46, "Big", E26&lt;Dash!$D$49, "Small", E26&gt;Dash!$D$47, "Good"), "Norm")</f>
        <v>Good</v>
      </c>
      <c r="V26" t="s">
        <v>41</v>
      </c>
      <c r="W26">
        <v>185.5</v>
      </c>
      <c r="X26" t="s">
        <v>43</v>
      </c>
    </row>
    <row r="27" spans="1:24" x14ac:dyDescent="0.25">
      <c r="A27" s="1">
        <v>45400</v>
      </c>
      <c r="B27" t="s">
        <v>36</v>
      </c>
      <c r="C27" t="s">
        <v>20</v>
      </c>
      <c r="D27" t="s">
        <v>14</v>
      </c>
      <c r="E27">
        <v>224.5</v>
      </c>
      <c r="F27">
        <v>900</v>
      </c>
      <c r="G27">
        <v>1000</v>
      </c>
      <c r="J27" t="s">
        <v>45</v>
      </c>
      <c r="K27" t="s">
        <v>22</v>
      </c>
      <c r="L27" t="s">
        <v>17</v>
      </c>
      <c r="M27" t="s">
        <v>23</v>
      </c>
      <c r="N27">
        <v>5</v>
      </c>
      <c r="O27" t="s">
        <v>62</v>
      </c>
      <c r="R27" t="s">
        <v>33</v>
      </c>
      <c r="S27" t="s">
        <v>14</v>
      </c>
      <c r="T27">
        <v>440</v>
      </c>
      <c r="U27" t="str">
        <f>_xlfn.IFNA(_xlfn.IFS(E27&gt;Dash!$D$46, "Big", E27&lt;Dash!$D$49, "Small", E27&gt;Dash!$D$47, "Good"), "Norm")</f>
        <v>Norm</v>
      </c>
      <c r="V27" t="s">
        <v>33</v>
      </c>
      <c r="W27">
        <v>353.25</v>
      </c>
      <c r="X27" t="s">
        <v>14</v>
      </c>
    </row>
    <row r="28" spans="1:24" x14ac:dyDescent="0.25">
      <c r="A28" s="1">
        <v>45421</v>
      </c>
      <c r="B28" t="s">
        <v>36</v>
      </c>
      <c r="C28" t="s">
        <v>20</v>
      </c>
      <c r="D28">
        <v>1</v>
      </c>
      <c r="E28">
        <v>130.5</v>
      </c>
      <c r="J28" t="s">
        <v>34</v>
      </c>
      <c r="K28" t="s">
        <v>39</v>
      </c>
      <c r="L28" t="s">
        <v>32</v>
      </c>
      <c r="M28" t="s">
        <v>36</v>
      </c>
      <c r="N28">
        <v>3</v>
      </c>
      <c r="R28" t="s">
        <v>33</v>
      </c>
      <c r="S28" t="s">
        <v>28</v>
      </c>
      <c r="T28">
        <v>159.5</v>
      </c>
      <c r="U28" t="str">
        <f>_xlfn.IFNA(_xlfn.IFS(E28&gt;Dash!$D$46, "Big", E28&lt;Dash!$D$49, "Small", E28&gt;Dash!$D$47, "Good"), "Norm")</f>
        <v>Small</v>
      </c>
      <c r="V28" t="s">
        <v>33</v>
      </c>
      <c r="W28">
        <v>169.75</v>
      </c>
      <c r="X28" t="s">
        <v>14</v>
      </c>
    </row>
    <row r="29" spans="1:24" x14ac:dyDescent="0.25">
      <c r="A29" s="1">
        <v>45463</v>
      </c>
      <c r="B29" t="s">
        <v>36</v>
      </c>
      <c r="C29" t="s">
        <v>20</v>
      </c>
      <c r="D29" t="s">
        <v>48</v>
      </c>
      <c r="E29">
        <v>347.5</v>
      </c>
      <c r="F29">
        <v>2100</v>
      </c>
      <c r="G29">
        <v>800</v>
      </c>
      <c r="H29">
        <v>1000</v>
      </c>
      <c r="I29">
        <v>1000</v>
      </c>
      <c r="J29" t="s">
        <v>29</v>
      </c>
      <c r="K29" t="s">
        <v>22</v>
      </c>
      <c r="L29" t="s">
        <v>17</v>
      </c>
      <c r="M29" t="s">
        <v>19</v>
      </c>
      <c r="N29">
        <v>7</v>
      </c>
      <c r="R29" t="s">
        <v>41</v>
      </c>
      <c r="S29" t="s">
        <v>46</v>
      </c>
      <c r="T29">
        <v>158.5</v>
      </c>
      <c r="U29" t="str">
        <f>_xlfn.IFNA(_xlfn.IFS(E29&gt;Dash!$D$46, "Big", E29&lt;Dash!$D$49, "Small", E29&gt;Dash!$D$47, "Good"), "Norm")</f>
        <v>Good</v>
      </c>
      <c r="V29" t="s">
        <v>33</v>
      </c>
      <c r="W29">
        <v>143.5</v>
      </c>
      <c r="X29">
        <v>1</v>
      </c>
    </row>
    <row r="30" spans="1:24" x14ac:dyDescent="0.25">
      <c r="A30" s="1">
        <v>45491</v>
      </c>
      <c r="B30" t="s">
        <v>36</v>
      </c>
      <c r="C30" t="s">
        <v>20</v>
      </c>
      <c r="D30" t="s">
        <v>14</v>
      </c>
      <c r="E30">
        <v>403.75</v>
      </c>
      <c r="F30">
        <v>1000</v>
      </c>
      <c r="G30">
        <v>1000</v>
      </c>
      <c r="J30" t="s">
        <v>45</v>
      </c>
      <c r="K30" t="s">
        <v>22</v>
      </c>
      <c r="L30" t="s">
        <v>17</v>
      </c>
      <c r="M30" t="s">
        <v>23</v>
      </c>
      <c r="N30">
        <v>5</v>
      </c>
      <c r="O30" t="s">
        <v>62</v>
      </c>
      <c r="R30" t="s">
        <v>20</v>
      </c>
      <c r="S30" t="s">
        <v>14</v>
      </c>
      <c r="T30">
        <v>322.5</v>
      </c>
      <c r="U30" t="str">
        <f>_xlfn.IFNA(_xlfn.IFS(E30&gt;Dash!$D$46, "Big", E30&lt;Dash!$D$49, "Small", E30&gt;Dash!$D$47, "Good"), "Norm")</f>
        <v>Big</v>
      </c>
      <c r="V30" t="s">
        <v>13</v>
      </c>
      <c r="W30">
        <v>332.5</v>
      </c>
      <c r="X30" t="s">
        <v>14</v>
      </c>
    </row>
    <row r="31" spans="1:24" x14ac:dyDescent="0.25">
      <c r="A31" s="1">
        <v>45610</v>
      </c>
      <c r="B31" t="s">
        <v>36</v>
      </c>
      <c r="C31" t="s">
        <v>20</v>
      </c>
      <c r="D31" t="s">
        <v>48</v>
      </c>
      <c r="E31">
        <v>205.5</v>
      </c>
      <c r="F31">
        <v>1800</v>
      </c>
      <c r="G31">
        <v>1800</v>
      </c>
      <c r="H31">
        <v>1000</v>
      </c>
      <c r="I31">
        <v>1000</v>
      </c>
      <c r="J31" t="s">
        <v>45</v>
      </c>
      <c r="K31" t="s">
        <v>22</v>
      </c>
      <c r="L31" t="s">
        <v>42</v>
      </c>
      <c r="M31" t="s">
        <v>18</v>
      </c>
      <c r="N31">
        <v>9</v>
      </c>
      <c r="R31" t="s">
        <v>13</v>
      </c>
      <c r="S31" t="s">
        <v>14</v>
      </c>
      <c r="T31">
        <v>458.75</v>
      </c>
      <c r="U31" t="str">
        <f>_xlfn.IFNA(_xlfn.IFS(E31&gt;Dash!$D$46, "Big", E31&lt;Dash!$D$49, "Small", E31&gt;Dash!$D$47, "Good"), "Norm")</f>
        <v>Norm</v>
      </c>
      <c r="V31" t="s">
        <v>33</v>
      </c>
      <c r="W31">
        <v>212</v>
      </c>
      <c r="X31" t="s">
        <v>43</v>
      </c>
    </row>
    <row r="32" spans="1:24" x14ac:dyDescent="0.25">
      <c r="A32" s="1">
        <v>45174</v>
      </c>
      <c r="B32" t="s">
        <v>19</v>
      </c>
      <c r="C32" t="s">
        <v>20</v>
      </c>
      <c r="D32" t="s">
        <v>46</v>
      </c>
      <c r="E32">
        <v>150</v>
      </c>
      <c r="F32">
        <v>400</v>
      </c>
      <c r="G32">
        <v>500</v>
      </c>
      <c r="J32" t="s">
        <v>15</v>
      </c>
      <c r="K32" t="s">
        <v>39</v>
      </c>
      <c r="L32" t="s">
        <v>32</v>
      </c>
      <c r="M32" t="s">
        <v>18</v>
      </c>
      <c r="N32">
        <v>2</v>
      </c>
      <c r="P32">
        <v>1000</v>
      </c>
      <c r="Q32">
        <v>1400</v>
      </c>
      <c r="R32" t="s">
        <v>13</v>
      </c>
      <c r="S32" t="s">
        <v>14</v>
      </c>
      <c r="T32">
        <v>203.75</v>
      </c>
      <c r="U32" t="str">
        <f>_xlfn.IFNA(_xlfn.IFS(E32&gt;Dash!$D$46, "Big", E32&lt;Dash!$D$49, "Small", E32&gt;Dash!$D$47, "Good"), "Norm")</f>
        <v>Small</v>
      </c>
    </row>
    <row r="33" spans="1:24" x14ac:dyDescent="0.25">
      <c r="A33" s="1">
        <v>45181</v>
      </c>
      <c r="B33" t="s">
        <v>19</v>
      </c>
      <c r="C33" t="s">
        <v>20</v>
      </c>
      <c r="D33" t="s">
        <v>14</v>
      </c>
      <c r="E33">
        <v>172.5</v>
      </c>
      <c r="F33">
        <v>1500</v>
      </c>
      <c r="G33">
        <v>1500</v>
      </c>
      <c r="J33" t="s">
        <v>21</v>
      </c>
      <c r="K33" t="s">
        <v>22</v>
      </c>
      <c r="L33" t="s">
        <v>17</v>
      </c>
      <c r="M33" t="s">
        <v>18</v>
      </c>
      <c r="N33">
        <v>10</v>
      </c>
      <c r="P33">
        <v>1300</v>
      </c>
      <c r="Q33">
        <v>1500</v>
      </c>
      <c r="R33" t="s">
        <v>33</v>
      </c>
      <c r="S33" t="s">
        <v>46</v>
      </c>
      <c r="T33">
        <v>211.5</v>
      </c>
      <c r="U33" t="str">
        <f>_xlfn.IFNA(_xlfn.IFS(E33&gt;Dash!$D$46, "Big", E33&lt;Dash!$D$49, "Small", E33&gt;Dash!$D$47, "Good"), "Norm")</f>
        <v>Norm</v>
      </c>
      <c r="V33" t="s">
        <v>13</v>
      </c>
      <c r="W33">
        <v>158.5</v>
      </c>
      <c r="X33" t="s">
        <v>28</v>
      </c>
    </row>
    <row r="34" spans="1:24" x14ac:dyDescent="0.25">
      <c r="A34" s="1">
        <v>45202</v>
      </c>
      <c r="B34" t="s">
        <v>19</v>
      </c>
      <c r="C34" t="s">
        <v>20</v>
      </c>
      <c r="D34" t="s">
        <v>14</v>
      </c>
      <c r="E34">
        <v>323.25</v>
      </c>
      <c r="F34">
        <v>1000</v>
      </c>
      <c r="J34" t="s">
        <v>45</v>
      </c>
      <c r="K34" t="s">
        <v>22</v>
      </c>
      <c r="L34" t="s">
        <v>17</v>
      </c>
      <c r="M34" t="s">
        <v>23</v>
      </c>
      <c r="N34">
        <v>9</v>
      </c>
      <c r="P34">
        <v>1300</v>
      </c>
      <c r="Q34">
        <v>1500</v>
      </c>
      <c r="R34" t="s">
        <v>20</v>
      </c>
      <c r="S34" t="s">
        <v>46</v>
      </c>
      <c r="T34">
        <v>221.5</v>
      </c>
      <c r="U34" t="str">
        <f>_xlfn.IFNA(_xlfn.IFS(E34&gt;Dash!$D$46, "Big", E34&lt;Dash!$D$49, "Small", E34&gt;Dash!$D$47, "Good"), "Norm")</f>
        <v>Good</v>
      </c>
      <c r="V34" t="s">
        <v>33</v>
      </c>
      <c r="W34">
        <v>220</v>
      </c>
      <c r="X34">
        <v>1</v>
      </c>
    </row>
    <row r="35" spans="1:24" x14ac:dyDescent="0.25">
      <c r="A35" s="1">
        <v>45209</v>
      </c>
      <c r="B35" t="s">
        <v>19</v>
      </c>
      <c r="C35" t="s">
        <v>20</v>
      </c>
      <c r="D35" t="s">
        <v>28</v>
      </c>
      <c r="E35">
        <v>210</v>
      </c>
      <c r="F35">
        <v>2000</v>
      </c>
      <c r="G35">
        <v>2200</v>
      </c>
      <c r="J35" t="s">
        <v>29</v>
      </c>
      <c r="K35" t="s">
        <v>39</v>
      </c>
      <c r="L35" t="s">
        <v>35</v>
      </c>
      <c r="M35" t="s">
        <v>18</v>
      </c>
      <c r="N35">
        <v>8</v>
      </c>
      <c r="P35">
        <v>1100</v>
      </c>
      <c r="Q35">
        <v>1300</v>
      </c>
      <c r="R35" t="s">
        <v>33</v>
      </c>
      <c r="S35" t="s">
        <v>28</v>
      </c>
      <c r="T35">
        <v>134.25</v>
      </c>
      <c r="U35" t="str">
        <f>_xlfn.IFNA(_xlfn.IFS(E35&gt;Dash!$D$46, "Big", E35&lt;Dash!$D$49, "Small", E35&gt;Dash!$D$47, "Good"), "Norm")</f>
        <v>Norm</v>
      </c>
      <c r="V35" t="s">
        <v>33</v>
      </c>
      <c r="W35">
        <v>263.25</v>
      </c>
      <c r="X35" t="s">
        <v>28</v>
      </c>
    </row>
    <row r="36" spans="1:24" x14ac:dyDescent="0.25">
      <c r="A36" s="1">
        <v>45237</v>
      </c>
      <c r="B36" t="s">
        <v>19</v>
      </c>
      <c r="C36" t="s">
        <v>20</v>
      </c>
      <c r="D36" t="s">
        <v>28</v>
      </c>
      <c r="E36">
        <v>192.75</v>
      </c>
      <c r="F36">
        <v>900</v>
      </c>
      <c r="J36" t="s">
        <v>27</v>
      </c>
      <c r="K36" t="s">
        <v>39</v>
      </c>
      <c r="L36" t="s">
        <v>32</v>
      </c>
      <c r="M36" t="s">
        <v>19</v>
      </c>
      <c r="N36">
        <v>5</v>
      </c>
      <c r="P36">
        <v>1200</v>
      </c>
      <c r="Q36">
        <v>1500</v>
      </c>
      <c r="R36" t="s">
        <v>33</v>
      </c>
      <c r="S36" t="s">
        <v>43</v>
      </c>
      <c r="T36">
        <v>130.75</v>
      </c>
      <c r="U36" t="str">
        <f>_xlfn.IFNA(_xlfn.IFS(E36&gt;Dash!$D$46, "Big", E36&lt;Dash!$D$49, "Small", E36&gt;Dash!$D$47, "Good"), "Norm")</f>
        <v>Norm</v>
      </c>
      <c r="V36" t="s">
        <v>33</v>
      </c>
      <c r="W36">
        <v>119.5</v>
      </c>
      <c r="X36" t="s">
        <v>43</v>
      </c>
    </row>
    <row r="37" spans="1:24" x14ac:dyDescent="0.25">
      <c r="A37" s="1">
        <v>45328</v>
      </c>
      <c r="B37" t="s">
        <v>19</v>
      </c>
      <c r="C37" t="s">
        <v>20</v>
      </c>
      <c r="D37" t="s">
        <v>43</v>
      </c>
      <c r="E37">
        <v>207</v>
      </c>
      <c r="F37">
        <v>0</v>
      </c>
      <c r="G37">
        <v>100</v>
      </c>
      <c r="J37" t="s">
        <v>29</v>
      </c>
      <c r="K37" t="s">
        <v>22</v>
      </c>
      <c r="L37" t="s">
        <v>17</v>
      </c>
      <c r="M37" t="s">
        <v>23</v>
      </c>
      <c r="N37">
        <v>2</v>
      </c>
      <c r="R37" t="s">
        <v>24</v>
      </c>
      <c r="S37" t="s">
        <v>28</v>
      </c>
      <c r="T37">
        <v>170</v>
      </c>
      <c r="U37" t="str">
        <f>_xlfn.IFNA(_xlfn.IFS(E37&gt;Dash!$D$46, "Big", E37&lt;Dash!$D$49, "Small", E37&gt;Dash!$D$47, "Good"), "Norm")</f>
        <v>Norm</v>
      </c>
      <c r="V37" t="s">
        <v>33</v>
      </c>
      <c r="W37">
        <v>191.25</v>
      </c>
      <c r="X37">
        <v>1</v>
      </c>
    </row>
    <row r="38" spans="1:24" x14ac:dyDescent="0.25">
      <c r="A38" s="1">
        <v>45335</v>
      </c>
      <c r="B38" t="s">
        <v>19</v>
      </c>
      <c r="C38" t="s">
        <v>20</v>
      </c>
      <c r="D38" t="s">
        <v>14</v>
      </c>
      <c r="E38">
        <v>328</v>
      </c>
      <c r="F38">
        <v>300</v>
      </c>
      <c r="J38" t="s">
        <v>15</v>
      </c>
      <c r="K38" t="s">
        <v>22</v>
      </c>
      <c r="L38" t="s">
        <v>17</v>
      </c>
      <c r="M38" t="s">
        <v>19</v>
      </c>
      <c r="N38">
        <v>10</v>
      </c>
      <c r="R38" t="s">
        <v>13</v>
      </c>
      <c r="S38">
        <v>1</v>
      </c>
      <c r="T38">
        <v>196.75</v>
      </c>
      <c r="U38" t="str">
        <f>_xlfn.IFNA(_xlfn.IFS(E38&gt;Dash!$D$46, "Big", E38&lt;Dash!$D$49, "Small", E38&gt;Dash!$D$47, "Good"), "Norm")</f>
        <v>Good</v>
      </c>
      <c r="V38" t="s">
        <v>33</v>
      </c>
      <c r="W38">
        <v>185.25</v>
      </c>
      <c r="X38" t="s">
        <v>43</v>
      </c>
    </row>
    <row r="39" spans="1:24" x14ac:dyDescent="0.25">
      <c r="A39" s="1">
        <v>45349</v>
      </c>
      <c r="B39" t="s">
        <v>19</v>
      </c>
      <c r="C39" t="s">
        <v>20</v>
      </c>
      <c r="D39" t="s">
        <v>46</v>
      </c>
      <c r="E39">
        <v>125</v>
      </c>
      <c r="F39">
        <v>1200</v>
      </c>
      <c r="G39">
        <v>1300</v>
      </c>
      <c r="J39" t="s">
        <v>21</v>
      </c>
      <c r="K39" t="s">
        <v>22</v>
      </c>
      <c r="L39" t="s">
        <v>17</v>
      </c>
      <c r="M39" t="s">
        <v>19</v>
      </c>
      <c r="N39">
        <v>7</v>
      </c>
      <c r="R39" t="s">
        <v>13</v>
      </c>
      <c r="S39" t="s">
        <v>14</v>
      </c>
      <c r="T39">
        <v>99</v>
      </c>
      <c r="U39" t="str">
        <f>_xlfn.IFNA(_xlfn.IFS(E39&gt;Dash!$D$46, "Big", E39&lt;Dash!$D$49, "Small", E39&gt;Dash!$D$47, "Good"), "Norm")</f>
        <v>Small</v>
      </c>
      <c r="V39" t="s">
        <v>24</v>
      </c>
      <c r="W39">
        <v>93.5</v>
      </c>
      <c r="X39" t="s">
        <v>14</v>
      </c>
    </row>
    <row r="40" spans="1:24" x14ac:dyDescent="0.25">
      <c r="A40" s="1">
        <v>45377</v>
      </c>
      <c r="B40" t="s">
        <v>19</v>
      </c>
      <c r="C40" t="s">
        <v>20</v>
      </c>
      <c r="D40" t="s">
        <v>43</v>
      </c>
      <c r="E40">
        <v>177.5</v>
      </c>
      <c r="F40">
        <v>300</v>
      </c>
      <c r="G40">
        <v>300</v>
      </c>
      <c r="J40" t="s">
        <v>30</v>
      </c>
      <c r="K40" t="s">
        <v>22</v>
      </c>
      <c r="L40" t="s">
        <v>17</v>
      </c>
      <c r="M40" t="s">
        <v>19</v>
      </c>
      <c r="N40">
        <v>6</v>
      </c>
      <c r="R40" t="s">
        <v>33</v>
      </c>
      <c r="S40" t="s">
        <v>46</v>
      </c>
      <c r="T40">
        <v>193.25</v>
      </c>
      <c r="U40" t="str">
        <f>_xlfn.IFNA(_xlfn.IFS(E40&gt;Dash!$D$46, "Big", E40&lt;Dash!$D$49, "Small", E40&gt;Dash!$D$47, "Good"), "Norm")</f>
        <v>Norm</v>
      </c>
      <c r="V40" t="s">
        <v>24</v>
      </c>
      <c r="W40">
        <v>157</v>
      </c>
      <c r="X40" t="s">
        <v>46</v>
      </c>
    </row>
    <row r="41" spans="1:24" x14ac:dyDescent="0.25">
      <c r="A41" s="1">
        <v>45398</v>
      </c>
      <c r="B41" t="s">
        <v>19</v>
      </c>
      <c r="C41" t="s">
        <v>20</v>
      </c>
      <c r="D41" t="s">
        <v>46</v>
      </c>
      <c r="E41">
        <v>170</v>
      </c>
      <c r="F41">
        <v>2200</v>
      </c>
      <c r="G41">
        <v>2300</v>
      </c>
      <c r="J41" t="s">
        <v>37</v>
      </c>
      <c r="K41" t="s">
        <v>39</v>
      </c>
      <c r="L41" t="s">
        <v>32</v>
      </c>
      <c r="M41" t="s">
        <v>23</v>
      </c>
      <c r="N41">
        <v>5</v>
      </c>
      <c r="R41" t="s">
        <v>33</v>
      </c>
      <c r="S41" t="s">
        <v>14</v>
      </c>
      <c r="T41">
        <v>353.25</v>
      </c>
      <c r="U41" t="str">
        <f>_xlfn.IFNA(_xlfn.IFS(E41&gt;Dash!$D$46, "Big", E41&lt;Dash!$D$49, "Small", E41&gt;Dash!$D$47, "Good"), "Norm")</f>
        <v>Norm</v>
      </c>
      <c r="V41" t="s">
        <v>33</v>
      </c>
      <c r="W41">
        <v>509.25</v>
      </c>
      <c r="X41" t="s">
        <v>14</v>
      </c>
    </row>
    <row r="42" spans="1:24" x14ac:dyDescent="0.25">
      <c r="A42" s="1">
        <v>45419</v>
      </c>
      <c r="B42" t="s">
        <v>19</v>
      </c>
      <c r="C42" t="s">
        <v>20</v>
      </c>
      <c r="D42" t="s">
        <v>28</v>
      </c>
      <c r="E42">
        <v>106.25</v>
      </c>
      <c r="F42">
        <v>900</v>
      </c>
      <c r="G42">
        <v>900</v>
      </c>
      <c r="J42" t="s">
        <v>27</v>
      </c>
      <c r="K42" t="s">
        <v>39</v>
      </c>
      <c r="L42" t="s">
        <v>32</v>
      </c>
      <c r="M42" t="s">
        <v>36</v>
      </c>
      <c r="N42">
        <v>3</v>
      </c>
      <c r="R42" t="s">
        <v>33</v>
      </c>
      <c r="S42" t="s">
        <v>14</v>
      </c>
      <c r="T42">
        <v>169.75</v>
      </c>
      <c r="U42" t="str">
        <f>_xlfn.IFNA(_xlfn.IFS(E42&gt;Dash!$D$46, "Big", E42&lt;Dash!$D$49, "Small", E42&gt;Dash!$D$47, "Good"), "Norm")</f>
        <v>Small</v>
      </c>
      <c r="V42" t="s">
        <v>13</v>
      </c>
      <c r="W42">
        <v>160.75</v>
      </c>
      <c r="X42" t="s">
        <v>28</v>
      </c>
    </row>
    <row r="43" spans="1:24" x14ac:dyDescent="0.25">
      <c r="A43" s="1">
        <v>45440</v>
      </c>
      <c r="B43" t="s">
        <v>19</v>
      </c>
      <c r="C43" t="s">
        <v>20</v>
      </c>
      <c r="D43" t="s">
        <v>53</v>
      </c>
      <c r="E43">
        <v>126</v>
      </c>
      <c r="F43">
        <v>400</v>
      </c>
      <c r="G43">
        <v>600</v>
      </c>
      <c r="H43">
        <v>1400</v>
      </c>
      <c r="I43">
        <v>1500</v>
      </c>
      <c r="J43" t="s">
        <v>29</v>
      </c>
      <c r="K43" t="s">
        <v>22</v>
      </c>
      <c r="L43" t="s">
        <v>17</v>
      </c>
      <c r="M43" t="s">
        <v>19</v>
      </c>
      <c r="N43">
        <v>5</v>
      </c>
      <c r="R43" t="s">
        <v>13</v>
      </c>
      <c r="S43" t="s">
        <v>14</v>
      </c>
      <c r="T43">
        <v>124.5</v>
      </c>
      <c r="U43" t="str">
        <f>_xlfn.IFNA(_xlfn.IFS(E43&gt;Dash!$D$46, "Big", E43&lt;Dash!$D$49, "Small", E43&gt;Dash!$D$47, "Good"), "Norm")</f>
        <v>Small</v>
      </c>
      <c r="V43" t="s">
        <v>13</v>
      </c>
      <c r="W43">
        <v>202.5</v>
      </c>
      <c r="X43">
        <v>1</v>
      </c>
    </row>
    <row r="44" spans="1:24" x14ac:dyDescent="0.25">
      <c r="A44" s="1">
        <v>45447</v>
      </c>
      <c r="B44" t="s">
        <v>19</v>
      </c>
      <c r="C44" t="s">
        <v>20</v>
      </c>
      <c r="D44">
        <v>1</v>
      </c>
      <c r="E44">
        <v>191</v>
      </c>
      <c r="J44" t="s">
        <v>34</v>
      </c>
      <c r="K44" t="s">
        <v>39</v>
      </c>
      <c r="L44" t="s">
        <v>32</v>
      </c>
      <c r="M44" t="s">
        <v>23</v>
      </c>
      <c r="N44">
        <v>9</v>
      </c>
      <c r="R44" t="s">
        <v>13</v>
      </c>
      <c r="S44" t="s">
        <v>28</v>
      </c>
      <c r="T44">
        <v>301.5</v>
      </c>
      <c r="U44" t="str">
        <f>_xlfn.IFNA(_xlfn.IFS(E44&gt;Dash!$D$46, "Big", E44&lt;Dash!$D$49, "Small", E44&gt;Dash!$D$47, "Good"), "Norm")</f>
        <v>Norm</v>
      </c>
      <c r="V44" t="s">
        <v>33</v>
      </c>
      <c r="W44">
        <v>319.75</v>
      </c>
      <c r="X44" t="s">
        <v>28</v>
      </c>
    </row>
    <row r="45" spans="1:24" x14ac:dyDescent="0.25">
      <c r="A45" s="1">
        <v>45468</v>
      </c>
      <c r="B45" t="s">
        <v>19</v>
      </c>
      <c r="C45" t="s">
        <v>20</v>
      </c>
      <c r="D45" t="s">
        <v>46</v>
      </c>
      <c r="E45">
        <v>189</v>
      </c>
      <c r="F45">
        <v>400</v>
      </c>
      <c r="G45">
        <v>400</v>
      </c>
      <c r="J45" t="s">
        <v>15</v>
      </c>
      <c r="K45" t="s">
        <v>39</v>
      </c>
      <c r="L45" t="s">
        <v>32</v>
      </c>
      <c r="M45" t="s">
        <v>19</v>
      </c>
      <c r="N45">
        <v>6</v>
      </c>
      <c r="R45" t="s">
        <v>41</v>
      </c>
      <c r="S45" t="s">
        <v>43</v>
      </c>
      <c r="T45">
        <v>127</v>
      </c>
      <c r="U45" t="str">
        <f>_xlfn.IFNA(_xlfn.IFS(E45&gt;Dash!$D$46, "Big", E45&lt;Dash!$D$49, "Small", E45&gt;Dash!$D$47, "Good"), "Norm")</f>
        <v>Norm</v>
      </c>
      <c r="V45" t="s">
        <v>13</v>
      </c>
      <c r="W45">
        <v>255</v>
      </c>
      <c r="X45" t="s">
        <v>14</v>
      </c>
    </row>
    <row r="46" spans="1:24" x14ac:dyDescent="0.25">
      <c r="A46" s="1">
        <v>45475</v>
      </c>
      <c r="B46" t="s">
        <v>19</v>
      </c>
      <c r="C46" t="s">
        <v>20</v>
      </c>
      <c r="D46" t="s">
        <v>28</v>
      </c>
      <c r="E46">
        <v>332</v>
      </c>
      <c r="F46">
        <v>900</v>
      </c>
      <c r="G46">
        <v>900</v>
      </c>
      <c r="J46" t="s">
        <v>27</v>
      </c>
      <c r="K46" t="s">
        <v>39</v>
      </c>
      <c r="L46" t="s">
        <v>32</v>
      </c>
      <c r="M46" t="s">
        <v>23</v>
      </c>
      <c r="N46">
        <v>10</v>
      </c>
      <c r="R46" t="s">
        <v>33</v>
      </c>
      <c r="S46" t="s">
        <v>28</v>
      </c>
      <c r="T46">
        <v>230.25</v>
      </c>
      <c r="U46" t="str">
        <f>_xlfn.IFNA(_xlfn.IFS(E46&gt;Dash!$D$46, "Big", E46&lt;Dash!$D$49, "Small", E46&gt;Dash!$D$47, "Good"), "Norm")</f>
        <v>Good</v>
      </c>
      <c r="V46" t="s">
        <v>33</v>
      </c>
      <c r="W46">
        <v>262.25</v>
      </c>
      <c r="X46" t="s">
        <v>46</v>
      </c>
    </row>
    <row r="47" spans="1:24" x14ac:dyDescent="0.25">
      <c r="A47" s="1">
        <v>45545</v>
      </c>
      <c r="B47" t="s">
        <v>19</v>
      </c>
      <c r="C47" t="s">
        <v>20</v>
      </c>
      <c r="D47" t="s">
        <v>28</v>
      </c>
      <c r="E47">
        <v>288.75</v>
      </c>
      <c r="F47">
        <v>1800</v>
      </c>
      <c r="G47">
        <v>1800</v>
      </c>
      <c r="J47" t="s">
        <v>29</v>
      </c>
      <c r="K47" t="s">
        <v>39</v>
      </c>
      <c r="L47" t="s">
        <v>32</v>
      </c>
      <c r="M47" t="s">
        <v>18</v>
      </c>
      <c r="N47">
        <v>6</v>
      </c>
      <c r="R47" t="s">
        <v>33</v>
      </c>
      <c r="S47" t="s">
        <v>52</v>
      </c>
      <c r="T47">
        <v>746.5</v>
      </c>
      <c r="U47" t="str">
        <f>_xlfn.IFNA(_xlfn.IFS(E47&gt;Dash!$D$46, "Big", E47&lt;Dash!$D$49, "Small", E47&gt;Dash!$D$47, "Good"), "Norm")</f>
        <v>Good</v>
      </c>
      <c r="V47" t="s">
        <v>13</v>
      </c>
      <c r="W47">
        <v>232.75</v>
      </c>
      <c r="X47">
        <v>1</v>
      </c>
    </row>
    <row r="48" spans="1:24" x14ac:dyDescent="0.25">
      <c r="A48" s="1">
        <v>45657</v>
      </c>
      <c r="B48" t="s">
        <v>19</v>
      </c>
      <c r="C48" t="s">
        <v>20</v>
      </c>
      <c r="D48" t="s">
        <v>14</v>
      </c>
      <c r="E48">
        <v>317.5</v>
      </c>
      <c r="F48">
        <v>1200</v>
      </c>
      <c r="G48">
        <v>1200</v>
      </c>
      <c r="J48" t="s">
        <v>21</v>
      </c>
      <c r="K48" t="s">
        <v>22</v>
      </c>
      <c r="L48" t="s">
        <v>17</v>
      </c>
      <c r="M48" t="s">
        <v>36</v>
      </c>
      <c r="N48">
        <v>2</v>
      </c>
      <c r="R48">
        <v>0</v>
      </c>
      <c r="S48">
        <v>0</v>
      </c>
      <c r="T48">
        <v>0</v>
      </c>
      <c r="U48" t="str">
        <f>_xlfn.IFNA(_xlfn.IFS(E48&gt;Dash!$D$46, "Big", E48&lt;Dash!$D$49, "Small", E48&gt;Dash!$D$47, "Good"), "Norm")</f>
        <v>Good</v>
      </c>
      <c r="V48" t="s">
        <v>24</v>
      </c>
      <c r="W48">
        <v>318</v>
      </c>
      <c r="X48" t="s">
        <v>14</v>
      </c>
    </row>
    <row r="49" spans="1:24" x14ac:dyDescent="0.25">
      <c r="A49" s="1">
        <v>45203</v>
      </c>
      <c r="B49" t="s">
        <v>18</v>
      </c>
      <c r="C49" t="s">
        <v>20</v>
      </c>
      <c r="D49" t="s">
        <v>46</v>
      </c>
      <c r="E49">
        <v>221.5</v>
      </c>
      <c r="F49">
        <v>2300</v>
      </c>
      <c r="G49">
        <v>2300</v>
      </c>
      <c r="J49" t="s">
        <v>37</v>
      </c>
      <c r="K49" t="s">
        <v>39</v>
      </c>
      <c r="L49" t="s">
        <v>32</v>
      </c>
      <c r="M49" t="s">
        <v>23</v>
      </c>
      <c r="N49">
        <v>9</v>
      </c>
      <c r="P49">
        <v>1400</v>
      </c>
      <c r="Q49">
        <v>1500</v>
      </c>
      <c r="R49" t="s">
        <v>33</v>
      </c>
      <c r="S49" t="s">
        <v>43</v>
      </c>
      <c r="T49">
        <v>242.5</v>
      </c>
      <c r="U49" t="str">
        <f>_xlfn.IFNA(_xlfn.IFS(E49&gt;Dash!$D$46, "Big", E49&lt;Dash!$D$49, "Small", E49&gt;Dash!$D$47, "Good"), "Norm")</f>
        <v>Norm</v>
      </c>
      <c r="V49" t="s">
        <v>20</v>
      </c>
      <c r="W49">
        <v>323.25</v>
      </c>
      <c r="X49" t="s">
        <v>14</v>
      </c>
    </row>
    <row r="50" spans="1:24" x14ac:dyDescent="0.25">
      <c r="A50" s="1">
        <v>45231</v>
      </c>
      <c r="B50" t="s">
        <v>18</v>
      </c>
      <c r="C50" t="s">
        <v>20</v>
      </c>
      <c r="D50" t="s">
        <v>28</v>
      </c>
      <c r="E50">
        <v>344.75</v>
      </c>
      <c r="F50">
        <v>800</v>
      </c>
      <c r="G50">
        <v>800</v>
      </c>
      <c r="J50" t="s">
        <v>27</v>
      </c>
      <c r="K50" t="s">
        <v>39</v>
      </c>
      <c r="L50" t="s">
        <v>32</v>
      </c>
      <c r="M50" t="s">
        <v>19</v>
      </c>
      <c r="N50">
        <v>13</v>
      </c>
      <c r="P50">
        <v>1400</v>
      </c>
      <c r="Q50">
        <v>1500</v>
      </c>
      <c r="R50" t="s">
        <v>13</v>
      </c>
      <c r="S50" t="s">
        <v>28</v>
      </c>
      <c r="T50">
        <v>139</v>
      </c>
      <c r="U50" t="str">
        <f>_xlfn.IFNA(_xlfn.IFS(E50&gt;Dash!$D$46, "Big", E50&lt;Dash!$D$49, "Small", E50&gt;Dash!$D$47, "Good"), "Norm")</f>
        <v>Good</v>
      </c>
      <c r="V50" t="s">
        <v>33</v>
      </c>
      <c r="W50">
        <v>192.5</v>
      </c>
      <c r="X50" t="s">
        <v>28</v>
      </c>
    </row>
    <row r="51" spans="1:24" x14ac:dyDescent="0.25">
      <c r="A51" s="1">
        <v>45427</v>
      </c>
      <c r="B51" t="s">
        <v>18</v>
      </c>
      <c r="C51" t="s">
        <v>20</v>
      </c>
      <c r="D51" t="s">
        <v>28</v>
      </c>
      <c r="E51">
        <v>313.5</v>
      </c>
      <c r="F51">
        <v>2200</v>
      </c>
      <c r="G51">
        <v>2200</v>
      </c>
      <c r="J51" t="s">
        <v>29</v>
      </c>
      <c r="K51" t="s">
        <v>39</v>
      </c>
      <c r="L51" t="s">
        <v>32</v>
      </c>
      <c r="M51" t="s">
        <v>19</v>
      </c>
      <c r="N51">
        <v>10</v>
      </c>
      <c r="R51" t="s">
        <v>33</v>
      </c>
      <c r="S51" t="s">
        <v>43</v>
      </c>
      <c r="T51">
        <v>117</v>
      </c>
      <c r="U51" t="str">
        <f>_xlfn.IFNA(_xlfn.IFS(E51&gt;Dash!$D$46, "Big", E51&lt;Dash!$D$49, "Small", E51&gt;Dash!$D$47, "Good"), "Norm")</f>
        <v>Good</v>
      </c>
      <c r="V51" t="s">
        <v>33</v>
      </c>
      <c r="W51">
        <v>267.5</v>
      </c>
      <c r="X51" t="s">
        <v>53</v>
      </c>
    </row>
    <row r="52" spans="1:24" x14ac:dyDescent="0.25">
      <c r="A52" s="1">
        <v>45532</v>
      </c>
      <c r="B52" t="s">
        <v>18</v>
      </c>
      <c r="C52" t="s">
        <v>20</v>
      </c>
      <c r="D52" t="s">
        <v>14</v>
      </c>
      <c r="E52">
        <v>378</v>
      </c>
      <c r="F52">
        <v>1100</v>
      </c>
      <c r="J52" t="s">
        <v>45</v>
      </c>
      <c r="K52" t="s">
        <v>22</v>
      </c>
      <c r="L52" t="s">
        <v>42</v>
      </c>
      <c r="M52" t="s">
        <v>19</v>
      </c>
      <c r="N52">
        <v>4</v>
      </c>
      <c r="O52" t="s">
        <v>66</v>
      </c>
      <c r="R52" t="s">
        <v>24</v>
      </c>
      <c r="S52" t="s">
        <v>47</v>
      </c>
      <c r="T52">
        <v>356.5</v>
      </c>
      <c r="U52" t="str">
        <f>_xlfn.IFNA(_xlfn.IFS(E52&gt;Dash!$D$46, "Big", E52&lt;Dash!$D$49, "Small", E52&gt;Dash!$D$47, "Good"), "Norm")</f>
        <v>Good</v>
      </c>
      <c r="V52" t="s">
        <v>33</v>
      </c>
      <c r="W52">
        <v>252.75</v>
      </c>
      <c r="X52" t="s">
        <v>46</v>
      </c>
    </row>
    <row r="53" spans="1:24" x14ac:dyDescent="0.25">
      <c r="A53" s="1">
        <v>45574</v>
      </c>
      <c r="B53" t="s">
        <v>18</v>
      </c>
      <c r="C53" t="s">
        <v>20</v>
      </c>
      <c r="D53" t="s">
        <v>28</v>
      </c>
      <c r="E53">
        <v>244.25</v>
      </c>
      <c r="F53">
        <v>1000</v>
      </c>
      <c r="J53" t="s">
        <v>27</v>
      </c>
      <c r="K53" t="s">
        <v>39</v>
      </c>
      <c r="L53" t="s">
        <v>32</v>
      </c>
      <c r="M53" t="s">
        <v>18</v>
      </c>
      <c r="N53">
        <v>7</v>
      </c>
      <c r="R53" t="s">
        <v>33</v>
      </c>
      <c r="S53" t="s">
        <v>43</v>
      </c>
      <c r="T53">
        <v>206.75</v>
      </c>
      <c r="U53" t="str">
        <f>_xlfn.IFNA(_xlfn.IFS(E53&gt;Dash!$D$46, "Big", E53&lt;Dash!$D$49, "Small", E53&gt;Dash!$D$47, "Good"), "Norm")</f>
        <v>Norm</v>
      </c>
      <c r="V53" t="s">
        <v>13</v>
      </c>
      <c r="W53">
        <v>273.25</v>
      </c>
      <c r="X53" t="s">
        <v>38</v>
      </c>
    </row>
    <row r="54" spans="1:24" x14ac:dyDescent="0.25">
      <c r="A54" s="1">
        <v>45588</v>
      </c>
      <c r="B54" t="s">
        <v>18</v>
      </c>
      <c r="C54" t="s">
        <v>20</v>
      </c>
      <c r="D54" t="s">
        <v>14</v>
      </c>
      <c r="E54">
        <v>415.5</v>
      </c>
      <c r="F54">
        <v>1000</v>
      </c>
      <c r="G54">
        <v>1000</v>
      </c>
      <c r="J54" t="s">
        <v>45</v>
      </c>
      <c r="K54" t="s">
        <v>22</v>
      </c>
      <c r="L54" t="s">
        <v>17</v>
      </c>
      <c r="M54" t="s">
        <v>36</v>
      </c>
      <c r="N54">
        <v>3</v>
      </c>
      <c r="O54" t="s">
        <v>63</v>
      </c>
      <c r="R54" t="s">
        <v>33</v>
      </c>
      <c r="S54">
        <v>1</v>
      </c>
      <c r="T54">
        <v>166.75</v>
      </c>
      <c r="U54" t="str">
        <f>_xlfn.IFNA(_xlfn.IFS(E54&gt;Dash!$D$46, "Big", E54&lt;Dash!$D$49, "Small", E54&gt;Dash!$D$47, "Good"), "Norm")</f>
        <v>Big</v>
      </c>
      <c r="V54" t="s">
        <v>33</v>
      </c>
      <c r="W54">
        <v>242</v>
      </c>
      <c r="X54" t="s">
        <v>28</v>
      </c>
    </row>
    <row r="55" spans="1:24" x14ac:dyDescent="0.25">
      <c r="A55" s="1">
        <v>45637</v>
      </c>
      <c r="B55" t="s">
        <v>18</v>
      </c>
      <c r="C55" t="s">
        <v>20</v>
      </c>
      <c r="D55" t="s">
        <v>28</v>
      </c>
      <c r="E55">
        <v>383.75</v>
      </c>
      <c r="F55">
        <v>900</v>
      </c>
      <c r="J55" t="s">
        <v>27</v>
      </c>
      <c r="K55" t="s">
        <v>39</v>
      </c>
      <c r="L55" t="s">
        <v>32</v>
      </c>
      <c r="M55" t="s">
        <v>18</v>
      </c>
      <c r="N55">
        <v>6</v>
      </c>
      <c r="R55" t="s">
        <v>13</v>
      </c>
      <c r="S55">
        <v>1</v>
      </c>
      <c r="T55">
        <v>120.25</v>
      </c>
      <c r="U55" t="str">
        <f>_xlfn.IFNA(_xlfn.IFS(E55&gt;Dash!$D$46, "Big", E55&lt;Dash!$D$49, "Small", E55&gt;Dash!$D$47, "Good"), "Norm")</f>
        <v>Good</v>
      </c>
      <c r="V55" t="s">
        <v>33</v>
      </c>
      <c r="W55">
        <v>254</v>
      </c>
      <c r="X55" t="s">
        <v>14</v>
      </c>
    </row>
    <row r="56" spans="1:24" x14ac:dyDescent="0.25">
      <c r="A56" s="1">
        <v>45644</v>
      </c>
      <c r="B56" t="s">
        <v>18</v>
      </c>
      <c r="C56" t="s">
        <v>20</v>
      </c>
      <c r="D56" t="s">
        <v>14</v>
      </c>
      <c r="E56">
        <v>948.75</v>
      </c>
      <c r="F56">
        <v>1800</v>
      </c>
      <c r="G56">
        <v>1800</v>
      </c>
      <c r="J56" t="s">
        <v>37</v>
      </c>
      <c r="K56" t="s">
        <v>22</v>
      </c>
      <c r="L56" t="s">
        <v>17</v>
      </c>
      <c r="M56" t="s">
        <v>23</v>
      </c>
      <c r="N56">
        <v>11</v>
      </c>
      <c r="R56" t="s">
        <v>33</v>
      </c>
      <c r="S56">
        <v>1</v>
      </c>
      <c r="T56">
        <v>334.75</v>
      </c>
      <c r="U56" t="str">
        <f>_xlfn.IFNA(_xlfn.IFS(E56&gt;Dash!$D$46, "Big", E56&lt;Dash!$D$49, "Small", E56&gt;Dash!$D$47, "Good"), "Norm")</f>
        <v>Big</v>
      </c>
      <c r="V56" t="s">
        <v>24</v>
      </c>
      <c r="W56">
        <v>141.75</v>
      </c>
      <c r="X56">
        <v>1</v>
      </c>
    </row>
  </sheetData>
  <sortState xmlns:xlrd2="http://schemas.microsoft.com/office/spreadsheetml/2017/richdata2" ref="A4:X56">
    <sortCondition ref="B4:B56"/>
  </sortState>
  <conditionalFormatting sqref="C1:C1048576 R4:R952">
    <cfRule type="containsText" dxfId="246" priority="19" operator="containsText" text="NY Z Day">
      <formula>NOT(ISERROR(SEARCH("NY Z Day",C1)))</formula>
    </cfRule>
    <cfRule type="containsText" dxfId="245" priority="20" operator="containsText" text="Lon Pivot">
      <formula>NOT(ISERROR(SEARCH("Lon Pivot",C1)))</formula>
    </cfRule>
    <cfRule type="containsText" dxfId="244" priority="21" operator="containsText" text="Screamer">
      <formula>NOT(ISERROR(SEARCH("Screamer",C1)))</formula>
    </cfRule>
    <cfRule type="containsText" dxfId="243" priority="22" operator="containsText" text="Lon Wall">
      <formula>NOT(ISERROR(SEARCH("Lon Wall",C1)))</formula>
    </cfRule>
    <cfRule type="containsText" dxfId="242" priority="23" operator="containsText" text="Asia Wall">
      <formula>NOT(ISERROR(SEARCH("Asia Wall",C1)))</formula>
    </cfRule>
  </conditionalFormatting>
  <conditionalFormatting sqref="M1:O1048576 B4:B724">
    <cfRule type="containsText" dxfId="241" priority="14" operator="containsText" text="Friday">
      <formula>NOT(ISERROR(SEARCH("Friday",B1)))</formula>
    </cfRule>
    <cfRule type="containsText" dxfId="240" priority="15" operator="containsText" text="Thursday">
      <formula>NOT(ISERROR(SEARCH("Thursday",B1)))</formula>
    </cfRule>
    <cfRule type="containsText" dxfId="239" priority="16" operator="containsText" text="Wednesday">
      <formula>NOT(ISERROR(SEARCH("Wednesday",B1)))</formula>
    </cfRule>
    <cfRule type="containsText" dxfId="238" priority="17" operator="containsText" text="Tuesday">
      <formula>NOT(ISERROR(SEARCH("Tuesday",B1)))</formula>
    </cfRule>
    <cfRule type="containsText" dxfId="237" priority="18" operator="containsText" text="Monday">
      <formula>NOT(ISERROR(SEARCH("Monday",B1)))</formula>
    </cfRule>
  </conditionalFormatting>
  <conditionalFormatting sqref="P1:Q2 J1:L1048576">
    <cfRule type="containsText" dxfId="236" priority="24" operator="containsText" text="NYAH">
      <formula>NOT(ISERROR(SEARCH("NYAH",J1)))</formula>
    </cfRule>
    <cfRule type="containsText" dxfId="235" priority="25" operator="containsText" text="NYA">
      <formula>NOT(ISERROR(SEARCH("NYA",J1)))</formula>
    </cfRule>
    <cfRule type="containsText" dxfId="234" priority="26" operator="containsText" text="NYO">
      <formula>NOT(ISERROR(SEARCH("NYO",J1)))</formula>
    </cfRule>
    <cfRule type="containsText" dxfId="233" priority="27" operator="containsText" text="Inside">
      <formula>NOT(ISERROR(SEARCH("Inside",J1)))</formula>
    </cfRule>
    <cfRule type="containsText" dxfId="232" priority="28" operator="containsText" text="Asia">
      <formula>NOT(ISERROR(SEARCH("Asia",J1)))</formula>
    </cfRule>
    <cfRule type="containsText" dxfId="231" priority="29" operator="containsText" text="Lon">
      <formula>NOT(ISERROR(SEARCH("Lon",J1)))</formula>
    </cfRule>
  </conditionalFormatting>
  <conditionalFormatting sqref="R1:R2">
    <cfRule type="containsText" dxfId="230" priority="9" operator="containsText" text="Friday">
      <formula>NOT(ISERROR(SEARCH("Friday",R1)))</formula>
    </cfRule>
    <cfRule type="containsText" dxfId="229" priority="10" operator="containsText" text="Thursday">
      <formula>NOT(ISERROR(SEARCH("Thursday",R1)))</formula>
    </cfRule>
    <cfRule type="containsText" dxfId="228" priority="11" operator="containsText" text="Wednesday">
      <formula>NOT(ISERROR(SEARCH("Wednesday",R1)))</formula>
    </cfRule>
    <cfRule type="containsText" dxfId="227" priority="12" operator="containsText" text="Tuesday">
      <formula>NOT(ISERROR(SEARCH("Tuesday",R1)))</formula>
    </cfRule>
    <cfRule type="containsText" dxfId="226" priority="13" operator="containsText" text="Monday">
      <formula>NOT(ISERROR(SEARCH("Monday",R1)))</formula>
    </cfRule>
  </conditionalFormatting>
  <conditionalFormatting sqref="U4:U56">
    <cfRule type="cellIs" dxfId="225" priority="1" operator="equal">
      <formula>"Good"</formula>
    </cfRule>
  </conditionalFormatting>
  <conditionalFormatting sqref="U4:U1048576">
    <cfRule type="cellIs" dxfId="224" priority="2" operator="equal">
      <formula>"Big"</formula>
    </cfRule>
    <cfRule type="cellIs" dxfId="223" priority="3" operator="equal">
      <formula>"Small"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9EB9-2A07-4B7C-9868-9BE1510FF534}">
  <dimension ref="A1:X148"/>
  <sheetViews>
    <sheetView topLeftCell="A31" workbookViewId="0">
      <selection activeCell="B35" sqref="B35:R56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45198</v>
      </c>
      <c r="B4" t="s">
        <v>26</v>
      </c>
      <c r="C4" t="s">
        <v>33</v>
      </c>
      <c r="D4" t="s">
        <v>43</v>
      </c>
      <c r="E4">
        <v>249.75</v>
      </c>
      <c r="F4">
        <v>300</v>
      </c>
      <c r="G4">
        <v>300</v>
      </c>
      <c r="J4" t="s">
        <v>30</v>
      </c>
      <c r="K4" t="s">
        <v>35</v>
      </c>
      <c r="L4" t="s">
        <v>17</v>
      </c>
      <c r="M4" t="s">
        <v>19</v>
      </c>
      <c r="N4">
        <v>6</v>
      </c>
      <c r="P4">
        <v>1400</v>
      </c>
      <c r="Q4">
        <v>1500</v>
      </c>
      <c r="R4" t="s">
        <v>33</v>
      </c>
      <c r="S4">
        <v>1</v>
      </c>
      <c r="T4">
        <v>220</v>
      </c>
      <c r="U4" t="str">
        <f>_xlfn.IFNA(_xlfn.IFS(E4&gt;Dash!$D$46, "Big", E4&lt;Dash!$D$49, "Small", E4&gt;Dash!$D$47, "Good"), "Norm")</f>
        <v>Norm</v>
      </c>
      <c r="V4" t="s">
        <v>33</v>
      </c>
      <c r="W4">
        <v>289.5</v>
      </c>
      <c r="X4" t="s">
        <v>28</v>
      </c>
    </row>
    <row r="5" spans="1:24" x14ac:dyDescent="0.25">
      <c r="A5" s="1">
        <v>45205</v>
      </c>
      <c r="B5" t="s">
        <v>26</v>
      </c>
      <c r="C5" t="s">
        <v>33</v>
      </c>
      <c r="D5" t="s">
        <v>38</v>
      </c>
      <c r="E5">
        <v>500.25</v>
      </c>
      <c r="F5">
        <v>800</v>
      </c>
      <c r="G5">
        <v>900</v>
      </c>
      <c r="H5">
        <v>1100</v>
      </c>
      <c r="J5" t="s">
        <v>45</v>
      </c>
      <c r="K5" t="s">
        <v>25</v>
      </c>
      <c r="L5" t="s">
        <v>35</v>
      </c>
      <c r="M5" t="s">
        <v>23</v>
      </c>
      <c r="N5">
        <v>9</v>
      </c>
      <c r="P5">
        <v>800</v>
      </c>
      <c r="Q5">
        <v>1500</v>
      </c>
      <c r="R5" t="s">
        <v>33</v>
      </c>
      <c r="S5" t="s">
        <v>28</v>
      </c>
      <c r="T5">
        <v>263.25</v>
      </c>
      <c r="U5" t="str">
        <f>_xlfn.IFNA(_xlfn.IFS(E5&gt;Dash!$D$46, "Big", E5&lt;Dash!$D$49, "Small", E5&gt;Dash!$D$47, "Good"), "Norm")</f>
        <v>Big</v>
      </c>
      <c r="V5" t="s">
        <v>33</v>
      </c>
      <c r="W5">
        <v>242.5</v>
      </c>
      <c r="X5" t="s">
        <v>43</v>
      </c>
    </row>
    <row r="6" spans="1:24" x14ac:dyDescent="0.25">
      <c r="A6" s="1">
        <v>45212</v>
      </c>
      <c r="B6" t="s">
        <v>26</v>
      </c>
      <c r="C6" t="s">
        <v>33</v>
      </c>
      <c r="D6" t="s">
        <v>14</v>
      </c>
      <c r="E6">
        <v>304.5</v>
      </c>
      <c r="F6">
        <v>1000</v>
      </c>
      <c r="J6" t="s">
        <v>45</v>
      </c>
      <c r="K6" t="s">
        <v>35</v>
      </c>
      <c r="L6" t="s">
        <v>17</v>
      </c>
      <c r="M6" t="s">
        <v>18</v>
      </c>
      <c r="N6">
        <v>8</v>
      </c>
      <c r="P6">
        <v>1300</v>
      </c>
      <c r="Q6">
        <v>1500</v>
      </c>
      <c r="R6" t="s">
        <v>20</v>
      </c>
      <c r="S6">
        <v>1</v>
      </c>
      <c r="T6">
        <v>211.75</v>
      </c>
      <c r="U6" t="str">
        <f>_xlfn.IFNA(_xlfn.IFS(E6&gt;Dash!$D$46, "Big", E6&lt;Dash!$D$49, "Small", E6&gt;Dash!$D$47, "Good"), "Norm")</f>
        <v>Good</v>
      </c>
      <c r="V6" t="s">
        <v>33</v>
      </c>
      <c r="W6">
        <v>252.5</v>
      </c>
      <c r="X6" t="s">
        <v>43</v>
      </c>
    </row>
    <row r="7" spans="1:24" x14ac:dyDescent="0.25">
      <c r="A7" s="1">
        <v>45219</v>
      </c>
      <c r="B7" t="s">
        <v>26</v>
      </c>
      <c r="C7" t="s">
        <v>33</v>
      </c>
      <c r="D7" t="s">
        <v>14</v>
      </c>
      <c r="E7">
        <v>234.25</v>
      </c>
      <c r="F7">
        <v>1800</v>
      </c>
      <c r="G7">
        <v>1900</v>
      </c>
      <c r="J7" t="s">
        <v>37</v>
      </c>
      <c r="K7" t="s">
        <v>35</v>
      </c>
      <c r="L7" t="s">
        <v>42</v>
      </c>
      <c r="M7" t="s">
        <v>23</v>
      </c>
      <c r="N7">
        <v>5</v>
      </c>
      <c r="O7" t="s">
        <v>61</v>
      </c>
      <c r="P7">
        <v>1300</v>
      </c>
      <c r="Q7">
        <v>1600</v>
      </c>
      <c r="R7" t="s">
        <v>33</v>
      </c>
      <c r="S7" t="s">
        <v>46</v>
      </c>
      <c r="T7">
        <v>339.5</v>
      </c>
      <c r="U7" t="str">
        <f>_xlfn.IFNA(_xlfn.IFS(E7&gt;Dash!$D$46, "Big", E7&lt;Dash!$D$49, "Small", E7&gt;Dash!$D$47, "Good"), "Norm")</f>
        <v>Norm</v>
      </c>
      <c r="V7" t="s">
        <v>33</v>
      </c>
      <c r="W7">
        <v>286</v>
      </c>
      <c r="X7" t="s">
        <v>43</v>
      </c>
    </row>
    <row r="8" spans="1:24" x14ac:dyDescent="0.25">
      <c r="A8" s="1">
        <v>45226</v>
      </c>
      <c r="B8" t="s">
        <v>26</v>
      </c>
      <c r="C8" t="s">
        <v>33</v>
      </c>
      <c r="D8">
        <v>1</v>
      </c>
      <c r="E8">
        <v>198</v>
      </c>
      <c r="J8" t="s">
        <v>34</v>
      </c>
      <c r="K8" t="s">
        <v>35</v>
      </c>
      <c r="L8" t="s">
        <v>17</v>
      </c>
      <c r="M8" t="s">
        <v>19</v>
      </c>
      <c r="N8">
        <v>7</v>
      </c>
      <c r="P8">
        <v>1100</v>
      </c>
      <c r="Q8">
        <v>1500</v>
      </c>
      <c r="R8" t="s">
        <v>24</v>
      </c>
      <c r="S8" t="s">
        <v>28</v>
      </c>
      <c r="T8">
        <v>170.25</v>
      </c>
      <c r="U8" t="str">
        <f>_xlfn.IFNA(_xlfn.IFS(E8&gt;Dash!$D$46, "Big", E8&lt;Dash!$D$49, "Small", E8&gt;Dash!$D$47, "Good"), "Norm")</f>
        <v>Norm</v>
      </c>
      <c r="V8" t="s">
        <v>33</v>
      </c>
      <c r="W8">
        <v>318.75</v>
      </c>
      <c r="X8" t="s">
        <v>47</v>
      </c>
    </row>
    <row r="9" spans="1:24" x14ac:dyDescent="0.25">
      <c r="A9" s="1">
        <v>45247</v>
      </c>
      <c r="B9" t="s">
        <v>26</v>
      </c>
      <c r="C9" t="s">
        <v>33</v>
      </c>
      <c r="D9" t="s">
        <v>43</v>
      </c>
      <c r="E9">
        <v>115</v>
      </c>
      <c r="F9">
        <v>300</v>
      </c>
      <c r="G9">
        <v>300</v>
      </c>
      <c r="J9" t="s">
        <v>30</v>
      </c>
      <c r="K9" t="s">
        <v>25</v>
      </c>
      <c r="L9" t="s">
        <v>32</v>
      </c>
      <c r="M9" t="s">
        <v>19</v>
      </c>
      <c r="N9">
        <v>9</v>
      </c>
      <c r="O9" t="s">
        <v>61</v>
      </c>
      <c r="P9">
        <v>1400</v>
      </c>
      <c r="Q9">
        <v>1500</v>
      </c>
      <c r="R9" t="s">
        <v>13</v>
      </c>
      <c r="S9" t="s">
        <v>28</v>
      </c>
      <c r="T9">
        <v>229.5</v>
      </c>
      <c r="U9" t="str">
        <f>_xlfn.IFNA(_xlfn.IFS(E9&gt;Dash!$D$46, "Big", E9&lt;Dash!$D$49, "Small", E9&gt;Dash!$D$47, "Good"), "Norm")</f>
        <v>Small</v>
      </c>
      <c r="V9" t="s">
        <v>33</v>
      </c>
      <c r="W9">
        <v>110</v>
      </c>
      <c r="X9" t="s">
        <v>46</v>
      </c>
    </row>
    <row r="10" spans="1:24" x14ac:dyDescent="0.25">
      <c r="A10" s="1">
        <v>45261</v>
      </c>
      <c r="B10" t="s">
        <v>26</v>
      </c>
      <c r="C10" t="s">
        <v>33</v>
      </c>
      <c r="D10">
        <v>1</v>
      </c>
      <c r="E10">
        <v>186</v>
      </c>
      <c r="J10" t="s">
        <v>34</v>
      </c>
      <c r="K10" t="s">
        <v>25</v>
      </c>
      <c r="L10" t="s">
        <v>32</v>
      </c>
      <c r="M10" t="s">
        <v>19</v>
      </c>
      <c r="N10">
        <v>8</v>
      </c>
      <c r="P10">
        <v>1000</v>
      </c>
      <c r="Q10">
        <v>1200</v>
      </c>
      <c r="R10" t="s">
        <v>33</v>
      </c>
      <c r="S10" t="s">
        <v>14</v>
      </c>
      <c r="T10">
        <v>246.75</v>
      </c>
      <c r="U10" t="str">
        <f>_xlfn.IFNA(_xlfn.IFS(E10&gt;Dash!$D$46, "Big", E10&lt;Dash!$D$49, "Small", E10&gt;Dash!$D$47, "Good"), "Norm")</f>
        <v>Norm</v>
      </c>
      <c r="V10" t="s">
        <v>33</v>
      </c>
      <c r="W10">
        <v>242.5</v>
      </c>
      <c r="X10" t="s">
        <v>14</v>
      </c>
    </row>
    <row r="11" spans="1:24" x14ac:dyDescent="0.25">
      <c r="A11" s="1">
        <v>45268</v>
      </c>
      <c r="B11" t="s">
        <v>26</v>
      </c>
      <c r="C11" t="s">
        <v>33</v>
      </c>
      <c r="D11" t="s">
        <v>28</v>
      </c>
      <c r="E11">
        <v>230.5</v>
      </c>
      <c r="F11">
        <v>1000</v>
      </c>
      <c r="J11" t="s">
        <v>27</v>
      </c>
      <c r="K11" t="s">
        <v>25</v>
      </c>
      <c r="L11" t="s">
        <v>32</v>
      </c>
      <c r="M11" t="s">
        <v>19</v>
      </c>
      <c r="N11">
        <v>8</v>
      </c>
      <c r="P11">
        <v>1200</v>
      </c>
      <c r="Q11">
        <v>1400</v>
      </c>
      <c r="R11" t="s">
        <v>13</v>
      </c>
      <c r="S11" t="s">
        <v>28</v>
      </c>
      <c r="T11">
        <v>401.25</v>
      </c>
      <c r="U11" t="str">
        <f>_xlfn.IFNA(_xlfn.IFS(E11&gt;Dash!$D$46, "Big", E11&lt;Dash!$D$49, "Small", E11&gt;Dash!$D$47, "Good"), "Norm")</f>
        <v>Norm</v>
      </c>
      <c r="V11" t="s">
        <v>20</v>
      </c>
      <c r="W11">
        <v>221.5</v>
      </c>
      <c r="X11" t="s">
        <v>38</v>
      </c>
    </row>
    <row r="12" spans="1:24" x14ac:dyDescent="0.25">
      <c r="A12" s="1">
        <v>45296</v>
      </c>
      <c r="B12" t="s">
        <v>26</v>
      </c>
      <c r="C12" t="s">
        <v>33</v>
      </c>
      <c r="D12" t="s">
        <v>46</v>
      </c>
      <c r="E12">
        <v>243</v>
      </c>
      <c r="F12">
        <v>0</v>
      </c>
      <c r="G12">
        <v>900</v>
      </c>
      <c r="J12" t="s">
        <v>37</v>
      </c>
      <c r="K12" t="s">
        <v>25</v>
      </c>
      <c r="L12" t="s">
        <v>35</v>
      </c>
      <c r="M12" t="s">
        <v>18</v>
      </c>
      <c r="N12">
        <v>8</v>
      </c>
      <c r="R12" t="s">
        <v>20</v>
      </c>
      <c r="S12" t="s">
        <v>28</v>
      </c>
      <c r="T12">
        <v>341.75</v>
      </c>
      <c r="U12" t="str">
        <f>_xlfn.IFNA(_xlfn.IFS(E12&gt;Dash!$D$46, "Big", E12&lt;Dash!$D$49, "Small", E12&gt;Dash!$D$47, "Good"), "Norm")</f>
        <v>Norm</v>
      </c>
      <c r="V12" t="s">
        <v>20</v>
      </c>
      <c r="W12">
        <v>147.75</v>
      </c>
      <c r="X12" t="s">
        <v>14</v>
      </c>
    </row>
    <row r="13" spans="1:24" x14ac:dyDescent="0.25">
      <c r="A13" s="1">
        <v>45324</v>
      </c>
      <c r="B13" t="s">
        <v>26</v>
      </c>
      <c r="C13" t="s">
        <v>33</v>
      </c>
      <c r="D13" t="s">
        <v>28</v>
      </c>
      <c r="E13">
        <v>310</v>
      </c>
      <c r="F13">
        <v>1000</v>
      </c>
      <c r="J13" t="s">
        <v>27</v>
      </c>
      <c r="K13" t="s">
        <v>25</v>
      </c>
      <c r="L13" t="s">
        <v>32</v>
      </c>
      <c r="M13" t="s">
        <v>19</v>
      </c>
      <c r="N13">
        <v>13</v>
      </c>
      <c r="R13" t="s">
        <v>33</v>
      </c>
      <c r="S13">
        <v>1</v>
      </c>
      <c r="T13">
        <v>191.25</v>
      </c>
      <c r="U13" t="str">
        <f>_xlfn.IFNA(_xlfn.IFS(E13&gt;Dash!$D$46, "Big", E13&lt;Dash!$D$49, "Small", E13&gt;Dash!$D$47, "Good"), "Norm")</f>
        <v>Good</v>
      </c>
      <c r="V13" t="s">
        <v>20</v>
      </c>
      <c r="W13">
        <v>189.25</v>
      </c>
      <c r="X13" t="s">
        <v>28</v>
      </c>
    </row>
    <row r="14" spans="1:24" x14ac:dyDescent="0.25">
      <c r="A14" s="1">
        <v>45345</v>
      </c>
      <c r="B14" t="s">
        <v>26</v>
      </c>
      <c r="C14" t="s">
        <v>33</v>
      </c>
      <c r="D14" t="s">
        <v>43</v>
      </c>
      <c r="E14">
        <v>198.75</v>
      </c>
      <c r="F14">
        <v>900</v>
      </c>
      <c r="G14">
        <v>900</v>
      </c>
      <c r="J14" t="s">
        <v>27</v>
      </c>
      <c r="K14" t="s">
        <v>35</v>
      </c>
      <c r="L14" t="s">
        <v>25</v>
      </c>
      <c r="M14" t="s">
        <v>18</v>
      </c>
      <c r="N14">
        <v>4</v>
      </c>
      <c r="R14" t="s">
        <v>24</v>
      </c>
      <c r="S14" t="s">
        <v>14</v>
      </c>
      <c r="T14">
        <v>93.5</v>
      </c>
      <c r="U14" t="str">
        <f>_xlfn.IFNA(_xlfn.IFS(E14&gt;Dash!$D$46, "Big", E14&lt;Dash!$D$49, "Small", E14&gt;Dash!$D$47, "Good"), "Norm")</f>
        <v>Norm</v>
      </c>
      <c r="V14" t="s">
        <v>13</v>
      </c>
      <c r="W14">
        <v>223</v>
      </c>
      <c r="X14" t="s">
        <v>28</v>
      </c>
    </row>
    <row r="15" spans="1:24" x14ac:dyDescent="0.25">
      <c r="A15" s="1">
        <v>45359</v>
      </c>
      <c r="B15" t="s">
        <v>26</v>
      </c>
      <c r="C15" t="s">
        <v>33</v>
      </c>
      <c r="D15" t="s">
        <v>43</v>
      </c>
      <c r="E15">
        <v>424</v>
      </c>
      <c r="F15">
        <v>800</v>
      </c>
      <c r="G15">
        <v>800</v>
      </c>
      <c r="J15" t="s">
        <v>27</v>
      </c>
      <c r="K15" t="s">
        <v>35</v>
      </c>
      <c r="L15" t="s">
        <v>17</v>
      </c>
      <c r="M15" t="s">
        <v>19</v>
      </c>
      <c r="N15">
        <v>9</v>
      </c>
      <c r="R15" t="s">
        <v>41</v>
      </c>
      <c r="S15">
        <v>1</v>
      </c>
      <c r="T15">
        <v>133.25</v>
      </c>
      <c r="U15" t="str">
        <f>_xlfn.IFNA(_xlfn.IFS(E15&gt;Dash!$D$46, "Big", E15&lt;Dash!$D$49, "Small", E15&gt;Dash!$D$47, "Good"), "Norm")</f>
        <v>Big</v>
      </c>
      <c r="V15" t="s">
        <v>20</v>
      </c>
      <c r="W15">
        <v>254.75</v>
      </c>
      <c r="X15" t="s">
        <v>38</v>
      </c>
    </row>
    <row r="16" spans="1:24" x14ac:dyDescent="0.25">
      <c r="A16" s="1">
        <v>45373</v>
      </c>
      <c r="B16" t="s">
        <v>26</v>
      </c>
      <c r="C16" t="s">
        <v>33</v>
      </c>
      <c r="D16" t="s">
        <v>46</v>
      </c>
      <c r="E16">
        <v>134</v>
      </c>
      <c r="F16">
        <v>700</v>
      </c>
      <c r="G16">
        <v>800</v>
      </c>
      <c r="J16" t="s">
        <v>15</v>
      </c>
      <c r="K16" t="s">
        <v>25</v>
      </c>
      <c r="L16" t="s">
        <v>32</v>
      </c>
      <c r="M16" t="s">
        <v>18</v>
      </c>
      <c r="N16">
        <v>8</v>
      </c>
      <c r="R16" t="s">
        <v>24</v>
      </c>
      <c r="S16" t="s">
        <v>46</v>
      </c>
      <c r="T16">
        <v>157</v>
      </c>
      <c r="U16" t="str">
        <f>_xlfn.IFNA(_xlfn.IFS(E16&gt;Dash!$D$46, "Big", E16&lt;Dash!$D$49, "Small", E16&gt;Dash!$D$47, "Good"), "Norm")</f>
        <v>Small</v>
      </c>
      <c r="V16" t="s">
        <v>24</v>
      </c>
      <c r="W16">
        <v>156.5</v>
      </c>
      <c r="X16" t="s">
        <v>28</v>
      </c>
    </row>
    <row r="17" spans="1:24" x14ac:dyDescent="0.25">
      <c r="A17" s="1">
        <v>45387</v>
      </c>
      <c r="B17" t="s">
        <v>26</v>
      </c>
      <c r="C17" t="s">
        <v>33</v>
      </c>
      <c r="D17" t="s">
        <v>46</v>
      </c>
      <c r="E17">
        <v>356.75</v>
      </c>
      <c r="F17">
        <v>2000</v>
      </c>
      <c r="G17">
        <v>2000</v>
      </c>
      <c r="J17" t="s">
        <v>37</v>
      </c>
      <c r="K17" t="s">
        <v>25</v>
      </c>
      <c r="L17" t="s">
        <v>32</v>
      </c>
      <c r="M17" t="s">
        <v>23</v>
      </c>
      <c r="N17">
        <v>9</v>
      </c>
      <c r="R17" t="s">
        <v>33</v>
      </c>
      <c r="S17">
        <v>1</v>
      </c>
      <c r="T17">
        <v>138.5</v>
      </c>
      <c r="U17" t="str">
        <f>_xlfn.IFNA(_xlfn.IFS(E17&gt;Dash!$D$46, "Big", E17&lt;Dash!$D$49, "Small", E17&gt;Dash!$D$47, "Good"), "Norm")</f>
        <v>Good</v>
      </c>
      <c r="V17" t="s">
        <v>33</v>
      </c>
      <c r="W17">
        <v>498.75</v>
      </c>
      <c r="X17" t="s">
        <v>48</v>
      </c>
    </row>
    <row r="18" spans="1:24" x14ac:dyDescent="0.25">
      <c r="A18" s="1">
        <v>45401</v>
      </c>
      <c r="B18" t="s">
        <v>26</v>
      </c>
      <c r="C18" t="s">
        <v>33</v>
      </c>
      <c r="D18" t="s">
        <v>14</v>
      </c>
      <c r="E18">
        <v>440</v>
      </c>
      <c r="F18">
        <v>1900</v>
      </c>
      <c r="J18" t="s">
        <v>37</v>
      </c>
      <c r="K18" t="s">
        <v>35</v>
      </c>
      <c r="L18" t="s">
        <v>32</v>
      </c>
      <c r="M18" t="s">
        <v>23</v>
      </c>
      <c r="N18">
        <v>5</v>
      </c>
      <c r="O18" t="s">
        <v>61</v>
      </c>
      <c r="R18" t="s">
        <v>33</v>
      </c>
      <c r="S18">
        <v>1</v>
      </c>
      <c r="T18">
        <v>299.5</v>
      </c>
      <c r="U18" t="str">
        <f>_xlfn.IFNA(_xlfn.IFS(E18&gt;Dash!$D$46, "Big", E18&lt;Dash!$D$49, "Small", E18&gt;Dash!$D$47, "Good"), "Norm")</f>
        <v>Big</v>
      </c>
      <c r="V18" t="s">
        <v>20</v>
      </c>
      <c r="W18">
        <v>224.5</v>
      </c>
      <c r="X18" t="s">
        <v>14</v>
      </c>
    </row>
    <row r="19" spans="1:24" x14ac:dyDescent="0.25">
      <c r="A19" s="1">
        <v>45408</v>
      </c>
      <c r="B19" t="s">
        <v>26</v>
      </c>
      <c r="C19" t="s">
        <v>33</v>
      </c>
      <c r="D19" t="s">
        <v>28</v>
      </c>
      <c r="E19">
        <v>233.25</v>
      </c>
      <c r="F19">
        <v>1000</v>
      </c>
      <c r="J19" t="s">
        <v>27</v>
      </c>
      <c r="K19" t="s">
        <v>25</v>
      </c>
      <c r="L19" t="s">
        <v>32</v>
      </c>
      <c r="M19" t="s">
        <v>19</v>
      </c>
      <c r="N19">
        <v>7</v>
      </c>
      <c r="R19" t="s">
        <v>33</v>
      </c>
      <c r="S19" t="s">
        <v>28</v>
      </c>
      <c r="T19">
        <v>157.75</v>
      </c>
      <c r="U19" t="str">
        <f>_xlfn.IFNA(_xlfn.IFS(E19&gt;Dash!$D$46, "Big", E19&lt;Dash!$D$49, "Small", E19&gt;Dash!$D$47, "Good"), "Norm")</f>
        <v>Norm</v>
      </c>
      <c r="V19" t="s">
        <v>33</v>
      </c>
      <c r="W19">
        <v>296.75</v>
      </c>
      <c r="X19" t="s">
        <v>38</v>
      </c>
    </row>
    <row r="20" spans="1:24" x14ac:dyDescent="0.25">
      <c r="A20" s="1">
        <v>45422</v>
      </c>
      <c r="B20" t="s">
        <v>26</v>
      </c>
      <c r="C20" t="s">
        <v>33</v>
      </c>
      <c r="D20" t="s">
        <v>28</v>
      </c>
      <c r="E20">
        <v>159.5</v>
      </c>
      <c r="F20">
        <v>200</v>
      </c>
      <c r="G20">
        <v>1000</v>
      </c>
      <c r="J20" t="s">
        <v>29</v>
      </c>
      <c r="K20" t="s">
        <v>35</v>
      </c>
      <c r="L20" t="s">
        <v>25</v>
      </c>
      <c r="M20" t="s">
        <v>36</v>
      </c>
      <c r="N20">
        <v>3</v>
      </c>
      <c r="R20" t="s">
        <v>24</v>
      </c>
      <c r="S20">
        <v>1</v>
      </c>
      <c r="T20">
        <v>101.25</v>
      </c>
      <c r="U20" t="str">
        <f>_xlfn.IFNA(_xlfn.IFS(E20&gt;Dash!$D$46, "Big", E20&lt;Dash!$D$49, "Small", E20&gt;Dash!$D$47, "Good"), "Norm")</f>
        <v>Norm</v>
      </c>
      <c r="V20" t="s">
        <v>20</v>
      </c>
      <c r="W20">
        <v>130.5</v>
      </c>
      <c r="X20">
        <v>1</v>
      </c>
    </row>
    <row r="21" spans="1:24" x14ac:dyDescent="0.25">
      <c r="A21" s="1">
        <v>45429</v>
      </c>
      <c r="B21" t="s">
        <v>26</v>
      </c>
      <c r="C21" t="s">
        <v>33</v>
      </c>
      <c r="D21" t="s">
        <v>14</v>
      </c>
      <c r="E21">
        <v>141.75</v>
      </c>
      <c r="F21">
        <v>400</v>
      </c>
      <c r="G21">
        <v>400</v>
      </c>
      <c r="J21" t="s">
        <v>15</v>
      </c>
      <c r="K21" t="s">
        <v>35</v>
      </c>
      <c r="L21" t="s">
        <v>17</v>
      </c>
      <c r="M21" t="s">
        <v>19</v>
      </c>
      <c r="N21">
        <v>10</v>
      </c>
      <c r="O21" t="s">
        <v>61</v>
      </c>
      <c r="R21" t="s">
        <v>33</v>
      </c>
      <c r="S21" t="s">
        <v>28</v>
      </c>
      <c r="T21">
        <v>159.25</v>
      </c>
      <c r="U21" t="str">
        <f>_xlfn.IFNA(_xlfn.IFS(E21&gt;Dash!$D$46, "Big", E21&lt;Dash!$D$49, "Small", E21&gt;Dash!$D$47, "Good"), "Norm")</f>
        <v>Small</v>
      </c>
      <c r="V21" t="s">
        <v>33</v>
      </c>
      <c r="W21">
        <v>117</v>
      </c>
      <c r="X21" t="s">
        <v>43</v>
      </c>
    </row>
    <row r="22" spans="1:24" x14ac:dyDescent="0.25">
      <c r="A22" s="1">
        <v>45443</v>
      </c>
      <c r="B22" t="s">
        <v>26</v>
      </c>
      <c r="C22" t="s">
        <v>33</v>
      </c>
      <c r="D22" t="s">
        <v>46</v>
      </c>
      <c r="E22">
        <v>427</v>
      </c>
      <c r="F22">
        <v>2000</v>
      </c>
      <c r="G22">
        <v>2100</v>
      </c>
      <c r="J22" t="s">
        <v>37</v>
      </c>
      <c r="K22" t="s">
        <v>35</v>
      </c>
      <c r="L22" t="s">
        <v>17</v>
      </c>
      <c r="M22" t="s">
        <v>19</v>
      </c>
      <c r="N22">
        <v>5</v>
      </c>
      <c r="R22" t="s">
        <v>33</v>
      </c>
      <c r="S22" t="s">
        <v>28</v>
      </c>
      <c r="T22">
        <v>319.75</v>
      </c>
      <c r="U22" t="str">
        <f>_xlfn.IFNA(_xlfn.IFS(E22&gt;Dash!$D$46, "Big", E22&lt;Dash!$D$49, "Small", E22&gt;Dash!$D$47, "Good"), "Norm")</f>
        <v>Big</v>
      </c>
      <c r="V22" t="s">
        <v>33</v>
      </c>
      <c r="W22">
        <v>240.75</v>
      </c>
      <c r="X22" t="s">
        <v>14</v>
      </c>
    </row>
    <row r="23" spans="1:24" x14ac:dyDescent="0.25">
      <c r="A23" s="1">
        <v>45450</v>
      </c>
      <c r="B23" t="s">
        <v>26</v>
      </c>
      <c r="C23" t="s">
        <v>33</v>
      </c>
      <c r="D23" t="s">
        <v>48</v>
      </c>
      <c r="E23">
        <v>215</v>
      </c>
      <c r="F23">
        <v>800</v>
      </c>
      <c r="G23">
        <v>900</v>
      </c>
      <c r="H23">
        <v>1200</v>
      </c>
      <c r="I23">
        <v>1300</v>
      </c>
      <c r="J23" t="s">
        <v>27</v>
      </c>
      <c r="K23" t="s">
        <v>25</v>
      </c>
      <c r="L23" t="s">
        <v>32</v>
      </c>
      <c r="M23" t="s">
        <v>23</v>
      </c>
      <c r="N23">
        <v>9</v>
      </c>
      <c r="R23" t="s">
        <v>20</v>
      </c>
      <c r="S23">
        <v>1</v>
      </c>
      <c r="T23">
        <v>152</v>
      </c>
      <c r="U23" t="str">
        <f>_xlfn.IFNA(_xlfn.IFS(E23&gt;Dash!$D$46, "Big", E23&lt;Dash!$D$49, "Small", E23&gt;Dash!$D$47, "Good"), "Norm")</f>
        <v>Norm</v>
      </c>
      <c r="V23" t="s">
        <v>33</v>
      </c>
      <c r="W23">
        <v>107.25</v>
      </c>
      <c r="X23" t="s">
        <v>43</v>
      </c>
    </row>
    <row r="24" spans="1:24" x14ac:dyDescent="0.25">
      <c r="A24" s="1">
        <v>45471</v>
      </c>
      <c r="B24" t="s">
        <v>26</v>
      </c>
      <c r="C24" t="s">
        <v>33</v>
      </c>
      <c r="D24" t="s">
        <v>43</v>
      </c>
      <c r="E24">
        <v>367</v>
      </c>
      <c r="F24">
        <v>2100</v>
      </c>
      <c r="G24">
        <v>0</v>
      </c>
      <c r="J24" t="s">
        <v>29</v>
      </c>
      <c r="K24" t="s">
        <v>35</v>
      </c>
      <c r="L24" t="s">
        <v>17</v>
      </c>
      <c r="M24" t="s">
        <v>19</v>
      </c>
      <c r="N24">
        <v>6</v>
      </c>
      <c r="R24" t="s">
        <v>33</v>
      </c>
      <c r="S24" t="s">
        <v>46</v>
      </c>
      <c r="T24">
        <v>262.25</v>
      </c>
      <c r="U24" t="str">
        <f>_xlfn.IFNA(_xlfn.IFS(E24&gt;Dash!$D$46, "Big", E24&lt;Dash!$D$49, "Small", E24&gt;Dash!$D$47, "Good"), "Norm")</f>
        <v>Good</v>
      </c>
      <c r="V24" t="s">
        <v>24</v>
      </c>
      <c r="W24">
        <v>163.75</v>
      </c>
      <c r="X24" t="s">
        <v>38</v>
      </c>
    </row>
    <row r="25" spans="1:24" x14ac:dyDescent="0.25">
      <c r="A25" s="1">
        <v>45485</v>
      </c>
      <c r="B25" t="s">
        <v>26</v>
      </c>
      <c r="C25" t="s">
        <v>33</v>
      </c>
      <c r="D25" t="s">
        <v>46</v>
      </c>
      <c r="E25">
        <v>406</v>
      </c>
      <c r="F25">
        <v>100</v>
      </c>
      <c r="G25">
        <v>100</v>
      </c>
      <c r="J25" t="s">
        <v>37</v>
      </c>
      <c r="K25" t="s">
        <v>25</v>
      </c>
      <c r="L25" t="s">
        <v>32</v>
      </c>
      <c r="M25" t="s">
        <v>19</v>
      </c>
      <c r="N25">
        <v>9</v>
      </c>
      <c r="R25" t="s">
        <v>33</v>
      </c>
      <c r="S25" t="s">
        <v>43</v>
      </c>
      <c r="T25">
        <v>290.75</v>
      </c>
      <c r="U25" t="str">
        <f>_xlfn.IFNA(_xlfn.IFS(E25&gt;Dash!$D$46, "Big", E25&lt;Dash!$D$49, "Small", E25&gt;Dash!$D$47, "Good"), "Norm")</f>
        <v>Big</v>
      </c>
      <c r="V25" t="s">
        <v>33</v>
      </c>
      <c r="W25">
        <v>606.5</v>
      </c>
      <c r="X25" t="s">
        <v>48</v>
      </c>
    </row>
    <row r="26" spans="1:24" x14ac:dyDescent="0.25">
      <c r="A26" s="1">
        <v>45513</v>
      </c>
      <c r="B26" t="s">
        <v>26</v>
      </c>
      <c r="C26" t="s">
        <v>33</v>
      </c>
      <c r="D26" t="s">
        <v>28</v>
      </c>
      <c r="E26">
        <v>291.5</v>
      </c>
      <c r="F26">
        <v>1900</v>
      </c>
      <c r="G26">
        <v>2000</v>
      </c>
      <c r="J26" t="s">
        <v>29</v>
      </c>
      <c r="K26" t="s">
        <v>25</v>
      </c>
      <c r="L26" t="s">
        <v>32</v>
      </c>
      <c r="M26" t="s">
        <v>23</v>
      </c>
      <c r="N26">
        <v>2</v>
      </c>
      <c r="R26" t="s">
        <v>24</v>
      </c>
      <c r="S26" t="s">
        <v>28</v>
      </c>
      <c r="T26">
        <v>241.75</v>
      </c>
      <c r="U26" t="str">
        <f>_xlfn.IFNA(_xlfn.IFS(E26&gt;Dash!$D$46, "Big", E26&lt;Dash!$D$49, "Small", E26&gt;Dash!$D$47, "Good"), "Norm")</f>
        <v>Good</v>
      </c>
      <c r="V26" t="s">
        <v>13</v>
      </c>
      <c r="W26">
        <v>597.25</v>
      </c>
      <c r="X26" t="s">
        <v>38</v>
      </c>
    </row>
    <row r="27" spans="1:24" x14ac:dyDescent="0.25">
      <c r="A27" s="1">
        <v>45527</v>
      </c>
      <c r="B27" t="s">
        <v>26</v>
      </c>
      <c r="C27" t="s">
        <v>33</v>
      </c>
      <c r="D27">
        <v>1</v>
      </c>
      <c r="E27">
        <v>312.5</v>
      </c>
      <c r="J27" t="s">
        <v>34</v>
      </c>
      <c r="K27" t="s">
        <v>35</v>
      </c>
      <c r="L27" t="s">
        <v>17</v>
      </c>
      <c r="M27" t="s">
        <v>18</v>
      </c>
      <c r="N27">
        <v>6</v>
      </c>
      <c r="R27" t="s">
        <v>41</v>
      </c>
      <c r="S27" t="s">
        <v>14</v>
      </c>
      <c r="T27">
        <v>296</v>
      </c>
      <c r="U27" t="str">
        <f>_xlfn.IFNA(_xlfn.IFS(E27&gt;Dash!$D$46, "Big", E27&lt;Dash!$D$49, "Small", E27&gt;Dash!$D$47, "Good"), "Norm")</f>
        <v>Good</v>
      </c>
      <c r="V27" t="s">
        <v>33</v>
      </c>
      <c r="W27">
        <v>483.25</v>
      </c>
      <c r="X27" t="s">
        <v>48</v>
      </c>
    </row>
    <row r="28" spans="1:24" x14ac:dyDescent="0.25">
      <c r="A28" s="1">
        <v>45534</v>
      </c>
      <c r="B28" t="s">
        <v>26</v>
      </c>
      <c r="C28" t="s">
        <v>33</v>
      </c>
      <c r="D28">
        <v>1</v>
      </c>
      <c r="E28">
        <v>262.25</v>
      </c>
      <c r="J28" t="s">
        <v>34</v>
      </c>
      <c r="K28" t="s">
        <v>17</v>
      </c>
      <c r="L28" t="s">
        <v>32</v>
      </c>
      <c r="M28" t="s">
        <v>19</v>
      </c>
      <c r="N28">
        <v>4</v>
      </c>
      <c r="R28" t="s">
        <v>13</v>
      </c>
      <c r="S28" t="s">
        <v>48</v>
      </c>
      <c r="T28">
        <v>611.25</v>
      </c>
      <c r="U28" t="str">
        <f>_xlfn.IFNA(_xlfn.IFS(E28&gt;Dash!$D$46, "Big", E28&lt;Dash!$D$49, "Small", E28&gt;Dash!$D$47, "Good"), "Norm")</f>
        <v>Good</v>
      </c>
      <c r="V28" t="s">
        <v>24</v>
      </c>
      <c r="W28">
        <v>356.5</v>
      </c>
      <c r="X28" t="s">
        <v>47</v>
      </c>
    </row>
    <row r="29" spans="1:24" x14ac:dyDescent="0.25">
      <c r="A29" s="1">
        <v>45541</v>
      </c>
      <c r="B29" t="s">
        <v>26</v>
      </c>
      <c r="C29" t="s">
        <v>33</v>
      </c>
      <c r="D29" t="s">
        <v>14</v>
      </c>
      <c r="E29">
        <v>542</v>
      </c>
      <c r="F29">
        <v>2100</v>
      </c>
      <c r="G29">
        <v>2100</v>
      </c>
      <c r="J29" t="s">
        <v>37</v>
      </c>
      <c r="K29" t="s">
        <v>35</v>
      </c>
      <c r="L29" t="s">
        <v>42</v>
      </c>
      <c r="M29" t="s">
        <v>19</v>
      </c>
      <c r="N29">
        <v>9</v>
      </c>
      <c r="R29" t="s">
        <v>13</v>
      </c>
      <c r="S29">
        <v>1</v>
      </c>
      <c r="T29">
        <v>232.75</v>
      </c>
      <c r="U29" t="str">
        <f>_xlfn.IFNA(_xlfn.IFS(E29&gt;Dash!$D$46, "Big", E29&lt;Dash!$D$49, "Small", E29&gt;Dash!$D$47, "Good"), "Norm")</f>
        <v>Big</v>
      </c>
      <c r="V29" t="s">
        <v>33</v>
      </c>
      <c r="W29">
        <v>323.25</v>
      </c>
      <c r="X29" t="s">
        <v>43</v>
      </c>
    </row>
    <row r="30" spans="1:24" x14ac:dyDescent="0.25">
      <c r="A30" s="1">
        <v>45548</v>
      </c>
      <c r="B30" t="s">
        <v>26</v>
      </c>
      <c r="C30" t="s">
        <v>33</v>
      </c>
      <c r="D30" t="s">
        <v>28</v>
      </c>
      <c r="E30">
        <v>179</v>
      </c>
      <c r="F30">
        <v>100</v>
      </c>
      <c r="G30">
        <v>100</v>
      </c>
      <c r="J30" t="s">
        <v>29</v>
      </c>
      <c r="K30" t="s">
        <v>25</v>
      </c>
      <c r="L30" t="s">
        <v>32</v>
      </c>
      <c r="M30" t="s">
        <v>18</v>
      </c>
      <c r="N30">
        <v>6</v>
      </c>
      <c r="R30" t="s">
        <v>24</v>
      </c>
      <c r="S30" t="s">
        <v>51</v>
      </c>
      <c r="T30">
        <v>168.5</v>
      </c>
      <c r="U30" t="str">
        <f>_xlfn.IFNA(_xlfn.IFS(E30&gt;Dash!$D$46, "Big", E30&lt;Dash!$D$49, "Small", E30&gt;Dash!$D$47, "Good"), "Norm")</f>
        <v>Norm</v>
      </c>
      <c r="V30" t="s">
        <v>33</v>
      </c>
      <c r="W30">
        <v>298.5</v>
      </c>
      <c r="X30" t="s">
        <v>28</v>
      </c>
    </row>
    <row r="31" spans="1:24" x14ac:dyDescent="0.25">
      <c r="A31" s="1">
        <v>45555</v>
      </c>
      <c r="B31" t="s">
        <v>26</v>
      </c>
      <c r="C31" t="s">
        <v>33</v>
      </c>
      <c r="D31">
        <v>1</v>
      </c>
      <c r="E31">
        <v>224</v>
      </c>
      <c r="J31" t="s">
        <v>34</v>
      </c>
      <c r="K31" t="s">
        <v>25</v>
      </c>
      <c r="L31" t="s">
        <v>32</v>
      </c>
      <c r="M31" t="s">
        <v>19</v>
      </c>
      <c r="N31">
        <v>7</v>
      </c>
      <c r="O31" t="s">
        <v>67</v>
      </c>
      <c r="R31">
        <v>0</v>
      </c>
      <c r="S31" t="s">
        <v>28</v>
      </c>
      <c r="T31">
        <v>108</v>
      </c>
      <c r="U31" t="str">
        <f>_xlfn.IFNA(_xlfn.IFS(E31&gt;Dash!$D$46, "Big", E31&lt;Dash!$D$49, "Small", E31&gt;Dash!$D$47, "Good"), "Norm")</f>
        <v>Norm</v>
      </c>
      <c r="V31" t="s">
        <v>13</v>
      </c>
      <c r="W31">
        <v>239</v>
      </c>
      <c r="X31" t="s">
        <v>28</v>
      </c>
    </row>
    <row r="32" spans="1:24" x14ac:dyDescent="0.25">
      <c r="A32" s="1">
        <v>45562</v>
      </c>
      <c r="B32" t="s">
        <v>26</v>
      </c>
      <c r="C32" t="s">
        <v>33</v>
      </c>
      <c r="D32" t="s">
        <v>14</v>
      </c>
      <c r="E32">
        <v>222.75</v>
      </c>
      <c r="F32">
        <v>1400</v>
      </c>
      <c r="G32">
        <v>1400</v>
      </c>
      <c r="J32" t="s">
        <v>21</v>
      </c>
      <c r="K32" t="s">
        <v>35</v>
      </c>
      <c r="L32" t="s">
        <v>17</v>
      </c>
      <c r="M32" t="s">
        <v>23</v>
      </c>
      <c r="N32">
        <v>7</v>
      </c>
      <c r="R32" t="s">
        <v>13</v>
      </c>
      <c r="S32" t="s">
        <v>46</v>
      </c>
      <c r="T32">
        <v>230.75</v>
      </c>
      <c r="U32" t="str">
        <f>_xlfn.IFNA(_xlfn.IFS(E32&gt;Dash!$D$46, "Big", E32&lt;Dash!$D$49, "Small", E32&gt;Dash!$D$47, "Good"), "Norm")</f>
        <v>Norm</v>
      </c>
      <c r="V32" t="s">
        <v>33</v>
      </c>
      <c r="W32">
        <v>350</v>
      </c>
      <c r="X32" t="s">
        <v>28</v>
      </c>
    </row>
    <row r="33" spans="1:24" x14ac:dyDescent="0.25">
      <c r="A33" s="1">
        <v>45576</v>
      </c>
      <c r="B33" t="s">
        <v>26</v>
      </c>
      <c r="C33" t="s">
        <v>33</v>
      </c>
      <c r="D33">
        <v>1</v>
      </c>
      <c r="E33">
        <v>179.5</v>
      </c>
      <c r="J33" t="s">
        <v>34</v>
      </c>
      <c r="K33" t="s">
        <v>25</v>
      </c>
      <c r="L33" t="s">
        <v>35</v>
      </c>
      <c r="M33" t="s">
        <v>18</v>
      </c>
      <c r="N33">
        <v>7</v>
      </c>
      <c r="R33" t="s">
        <v>24</v>
      </c>
      <c r="S33" t="s">
        <v>28</v>
      </c>
      <c r="T33">
        <v>177.5</v>
      </c>
      <c r="U33" t="str">
        <f>_xlfn.IFNA(_xlfn.IFS(E33&gt;Dash!$D$46, "Big", E33&lt;Dash!$D$49, "Small", E33&gt;Dash!$D$47, "Good"), "Norm")</f>
        <v>Norm</v>
      </c>
      <c r="V33" t="s">
        <v>33</v>
      </c>
      <c r="W33">
        <v>206.75</v>
      </c>
      <c r="X33" t="s">
        <v>43</v>
      </c>
    </row>
    <row r="34" spans="1:24" x14ac:dyDescent="0.25">
      <c r="A34" s="1">
        <v>45625</v>
      </c>
      <c r="B34" t="s">
        <v>26</v>
      </c>
      <c r="C34" t="s">
        <v>33</v>
      </c>
      <c r="D34" t="s">
        <v>28</v>
      </c>
      <c r="E34">
        <v>212</v>
      </c>
      <c r="F34">
        <v>1200</v>
      </c>
      <c r="G34">
        <v>1200</v>
      </c>
      <c r="J34" t="s">
        <v>34</v>
      </c>
      <c r="K34" t="s">
        <v>25</v>
      </c>
      <c r="L34" t="s">
        <v>32</v>
      </c>
      <c r="M34" t="s">
        <v>19</v>
      </c>
      <c r="N34">
        <v>5</v>
      </c>
      <c r="R34" t="s">
        <v>13</v>
      </c>
      <c r="S34" t="s">
        <v>28</v>
      </c>
      <c r="T34">
        <v>260.75</v>
      </c>
      <c r="U34" t="str">
        <f>_xlfn.IFNA(_xlfn.IFS(E34&gt;Dash!$D$46, "Big", E34&lt;Dash!$D$49, "Small", E34&gt;Dash!$D$47, "Good"), "Norm")</f>
        <v>Norm</v>
      </c>
      <c r="V34" t="s">
        <v>13</v>
      </c>
      <c r="W34">
        <v>289.75</v>
      </c>
      <c r="X34" t="s">
        <v>14</v>
      </c>
    </row>
    <row r="35" spans="1:24" x14ac:dyDescent="0.25">
      <c r="A35" s="1">
        <v>45194</v>
      </c>
      <c r="B35" t="s">
        <v>23</v>
      </c>
      <c r="C35" t="s">
        <v>33</v>
      </c>
      <c r="D35" t="s">
        <v>46</v>
      </c>
      <c r="E35">
        <v>157</v>
      </c>
      <c r="F35">
        <v>400</v>
      </c>
      <c r="G35">
        <v>400</v>
      </c>
      <c r="J35" t="s">
        <v>15</v>
      </c>
      <c r="K35" t="s">
        <v>25</v>
      </c>
      <c r="L35" t="s">
        <v>44</v>
      </c>
      <c r="M35" t="s">
        <v>19</v>
      </c>
      <c r="N35">
        <v>6</v>
      </c>
      <c r="P35">
        <v>1500</v>
      </c>
      <c r="Q35">
        <v>1600</v>
      </c>
      <c r="R35" t="s">
        <v>13</v>
      </c>
      <c r="S35" t="s">
        <v>14</v>
      </c>
      <c r="T35">
        <v>226.75</v>
      </c>
      <c r="U35" t="str">
        <f>_xlfn.IFNA(_xlfn.IFS(E35&gt;Dash!$D$46, "Big", E35&lt;Dash!$D$49, "Small", E35&gt;Dash!$D$47, "Good"), "Norm")</f>
        <v>Norm</v>
      </c>
      <c r="V35" t="s">
        <v>24</v>
      </c>
      <c r="W35">
        <v>175</v>
      </c>
      <c r="X35" t="s">
        <v>46</v>
      </c>
    </row>
    <row r="36" spans="1:24" x14ac:dyDescent="0.25">
      <c r="A36" s="1">
        <v>45201</v>
      </c>
      <c r="B36" t="s">
        <v>23</v>
      </c>
      <c r="C36" t="s">
        <v>33</v>
      </c>
      <c r="D36">
        <v>1</v>
      </c>
      <c r="E36">
        <v>220</v>
      </c>
      <c r="J36" t="s">
        <v>34</v>
      </c>
      <c r="K36" t="s">
        <v>25</v>
      </c>
      <c r="L36" t="s">
        <v>35</v>
      </c>
      <c r="M36" t="s">
        <v>23</v>
      </c>
      <c r="N36">
        <v>9</v>
      </c>
      <c r="P36">
        <v>1400</v>
      </c>
      <c r="Q36">
        <v>1600</v>
      </c>
      <c r="R36" t="s">
        <v>20</v>
      </c>
      <c r="S36" t="s">
        <v>14</v>
      </c>
      <c r="T36">
        <v>323.25</v>
      </c>
      <c r="U36" t="str">
        <f>_xlfn.IFNA(_xlfn.IFS(E36&gt;Dash!$D$46, "Big", E36&lt;Dash!$D$49, "Small", E36&gt;Dash!$D$47, "Good"), "Norm")</f>
        <v>Norm</v>
      </c>
      <c r="V36" t="s">
        <v>33</v>
      </c>
      <c r="W36">
        <v>249.75</v>
      </c>
      <c r="X36" t="s">
        <v>43</v>
      </c>
    </row>
    <row r="37" spans="1:24" x14ac:dyDescent="0.25">
      <c r="A37" s="1">
        <v>45208</v>
      </c>
      <c r="B37" t="s">
        <v>23</v>
      </c>
      <c r="C37" t="s">
        <v>33</v>
      </c>
      <c r="D37" t="s">
        <v>28</v>
      </c>
      <c r="E37">
        <v>263.25</v>
      </c>
      <c r="F37">
        <v>1300</v>
      </c>
      <c r="J37" t="s">
        <v>49</v>
      </c>
      <c r="K37" t="s">
        <v>25</v>
      </c>
      <c r="L37" t="s">
        <v>32</v>
      </c>
      <c r="M37" t="s">
        <v>18</v>
      </c>
      <c r="N37">
        <v>8</v>
      </c>
      <c r="P37">
        <v>1100</v>
      </c>
      <c r="Q37">
        <v>1400</v>
      </c>
      <c r="R37" t="s">
        <v>20</v>
      </c>
      <c r="S37" t="s">
        <v>28</v>
      </c>
      <c r="T37">
        <v>210</v>
      </c>
      <c r="U37" t="str">
        <f>_xlfn.IFNA(_xlfn.IFS(E37&gt;Dash!$D$46, "Big", E37&lt;Dash!$D$49, "Small", E37&gt;Dash!$D$47, "Good"), "Norm")</f>
        <v>Good</v>
      </c>
      <c r="V37" t="s">
        <v>33</v>
      </c>
      <c r="W37">
        <v>500.25</v>
      </c>
      <c r="X37" t="s">
        <v>38</v>
      </c>
    </row>
    <row r="38" spans="1:24" x14ac:dyDescent="0.25">
      <c r="A38" s="1">
        <v>45222</v>
      </c>
      <c r="B38" t="s">
        <v>23</v>
      </c>
      <c r="C38" t="s">
        <v>33</v>
      </c>
      <c r="D38" t="s">
        <v>46</v>
      </c>
      <c r="E38">
        <v>339.5</v>
      </c>
      <c r="F38">
        <v>300</v>
      </c>
      <c r="G38">
        <v>1000</v>
      </c>
      <c r="J38" t="s">
        <v>15</v>
      </c>
      <c r="K38" t="s">
        <v>25</v>
      </c>
      <c r="L38" t="s">
        <v>32</v>
      </c>
      <c r="M38" t="s">
        <v>23</v>
      </c>
      <c r="N38">
        <v>7</v>
      </c>
      <c r="P38">
        <v>1300</v>
      </c>
      <c r="Q38">
        <v>1500</v>
      </c>
      <c r="R38" t="s">
        <v>33</v>
      </c>
      <c r="S38" t="s">
        <v>28</v>
      </c>
      <c r="T38">
        <v>172</v>
      </c>
      <c r="U38" t="str">
        <f>_xlfn.IFNA(_xlfn.IFS(E38&gt;Dash!$D$46, "Big", E38&lt;Dash!$D$49, "Small", E38&gt;Dash!$D$47, "Good"), "Norm")</f>
        <v>Good</v>
      </c>
      <c r="V38" t="s">
        <v>33</v>
      </c>
      <c r="W38">
        <v>234.25</v>
      </c>
      <c r="X38" t="s">
        <v>14</v>
      </c>
    </row>
    <row r="39" spans="1:24" x14ac:dyDescent="0.25">
      <c r="A39" s="1">
        <v>45236</v>
      </c>
      <c r="B39" t="s">
        <v>23</v>
      </c>
      <c r="C39" t="s">
        <v>33</v>
      </c>
      <c r="D39" t="s">
        <v>43</v>
      </c>
      <c r="E39">
        <v>119.5</v>
      </c>
      <c r="F39">
        <v>900</v>
      </c>
      <c r="G39">
        <v>900</v>
      </c>
      <c r="J39" t="s">
        <v>27</v>
      </c>
      <c r="K39" t="s">
        <v>35</v>
      </c>
      <c r="L39" t="s">
        <v>17</v>
      </c>
      <c r="M39" t="s">
        <v>19</v>
      </c>
      <c r="N39">
        <v>5</v>
      </c>
      <c r="P39">
        <v>1300</v>
      </c>
      <c r="Q39">
        <v>1500</v>
      </c>
      <c r="R39" t="s">
        <v>20</v>
      </c>
      <c r="S39" t="s">
        <v>28</v>
      </c>
      <c r="T39">
        <v>192.75</v>
      </c>
      <c r="U39" t="str">
        <f>_xlfn.IFNA(_xlfn.IFS(E39&gt;Dash!$D$46, "Big", E39&lt;Dash!$D$49, "Small", E39&gt;Dash!$D$47, "Good"), "Norm")</f>
        <v>Small</v>
      </c>
      <c r="V39" t="s">
        <v>13</v>
      </c>
      <c r="W39">
        <v>288.5</v>
      </c>
      <c r="X39" t="s">
        <v>28</v>
      </c>
    </row>
    <row r="40" spans="1:24" x14ac:dyDescent="0.25">
      <c r="A40" s="1">
        <v>45264</v>
      </c>
      <c r="B40" t="s">
        <v>23</v>
      </c>
      <c r="C40" t="s">
        <v>33</v>
      </c>
      <c r="D40" t="s">
        <v>14</v>
      </c>
      <c r="E40">
        <v>246.75</v>
      </c>
      <c r="F40">
        <v>900</v>
      </c>
      <c r="G40">
        <v>1500</v>
      </c>
      <c r="J40" t="s">
        <v>45</v>
      </c>
      <c r="K40" t="s">
        <v>32</v>
      </c>
      <c r="L40" t="s">
        <v>25</v>
      </c>
      <c r="M40" t="s">
        <v>19</v>
      </c>
      <c r="N40">
        <v>8</v>
      </c>
      <c r="P40">
        <v>1400</v>
      </c>
      <c r="Q40">
        <v>1500</v>
      </c>
      <c r="R40" t="s">
        <v>41</v>
      </c>
      <c r="S40">
        <v>1</v>
      </c>
      <c r="T40">
        <v>192</v>
      </c>
      <c r="U40" t="str">
        <f>_xlfn.IFNA(_xlfn.IFS(E40&gt;Dash!$D$46, "Big", E40&lt;Dash!$D$49, "Small", E40&gt;Dash!$D$47, "Good"), "Norm")</f>
        <v>Norm</v>
      </c>
      <c r="V40" t="s">
        <v>33</v>
      </c>
      <c r="W40">
        <v>186</v>
      </c>
      <c r="X40">
        <v>1</v>
      </c>
    </row>
    <row r="41" spans="1:24" x14ac:dyDescent="0.25">
      <c r="A41" s="1">
        <v>45313</v>
      </c>
      <c r="B41" t="s">
        <v>23</v>
      </c>
      <c r="C41" t="s">
        <v>33</v>
      </c>
      <c r="D41" t="s">
        <v>43</v>
      </c>
      <c r="E41">
        <v>151</v>
      </c>
      <c r="F41">
        <v>1800</v>
      </c>
      <c r="G41">
        <v>1000</v>
      </c>
      <c r="J41" t="s">
        <v>29</v>
      </c>
      <c r="K41" t="s">
        <v>35</v>
      </c>
      <c r="L41" t="s">
        <v>17</v>
      </c>
      <c r="M41" t="s">
        <v>18</v>
      </c>
      <c r="N41">
        <v>5</v>
      </c>
      <c r="R41" t="s">
        <v>33</v>
      </c>
      <c r="S41" t="s">
        <v>46</v>
      </c>
      <c r="T41">
        <v>129.5</v>
      </c>
      <c r="U41" t="str">
        <f>_xlfn.IFNA(_xlfn.IFS(E41&gt;Dash!$D$46, "Big", E41&lt;Dash!$D$49, "Small", E41&gt;Dash!$D$47, "Good"), "Norm")</f>
        <v>Small</v>
      </c>
      <c r="V41" t="s">
        <v>13</v>
      </c>
      <c r="W41">
        <v>281.75</v>
      </c>
      <c r="X41" t="s">
        <v>28</v>
      </c>
    </row>
    <row r="42" spans="1:24" x14ac:dyDescent="0.25">
      <c r="A42" s="1">
        <v>45327</v>
      </c>
      <c r="B42" t="s">
        <v>23</v>
      </c>
      <c r="C42" t="s">
        <v>33</v>
      </c>
      <c r="D42">
        <v>1</v>
      </c>
      <c r="E42">
        <v>191.25</v>
      </c>
      <c r="J42" t="s">
        <v>34</v>
      </c>
      <c r="K42" t="s">
        <v>25</v>
      </c>
      <c r="L42" t="s">
        <v>32</v>
      </c>
      <c r="M42" t="s">
        <v>23</v>
      </c>
      <c r="N42">
        <v>2</v>
      </c>
      <c r="R42" t="s">
        <v>20</v>
      </c>
      <c r="S42" t="s">
        <v>43</v>
      </c>
      <c r="T42">
        <v>207</v>
      </c>
      <c r="U42" t="str">
        <f>_xlfn.IFNA(_xlfn.IFS(E42&gt;Dash!$D$46, "Big", E42&lt;Dash!$D$49, "Small", E42&gt;Dash!$D$47, "Good"), "Norm")</f>
        <v>Norm</v>
      </c>
      <c r="V42" t="s">
        <v>33</v>
      </c>
      <c r="W42">
        <v>310</v>
      </c>
      <c r="X42" t="s">
        <v>28</v>
      </c>
    </row>
    <row r="43" spans="1:24" x14ac:dyDescent="0.25">
      <c r="A43" s="1">
        <v>45334</v>
      </c>
      <c r="B43" t="s">
        <v>23</v>
      </c>
      <c r="C43" t="s">
        <v>33</v>
      </c>
      <c r="D43" t="s">
        <v>43</v>
      </c>
      <c r="E43">
        <v>185.25</v>
      </c>
      <c r="F43">
        <v>1000</v>
      </c>
      <c r="G43">
        <v>1300</v>
      </c>
      <c r="J43" t="s">
        <v>27</v>
      </c>
      <c r="K43" t="s">
        <v>35</v>
      </c>
      <c r="L43" t="s">
        <v>42</v>
      </c>
      <c r="M43" t="s">
        <v>19</v>
      </c>
      <c r="N43">
        <v>10</v>
      </c>
      <c r="R43" t="s">
        <v>20</v>
      </c>
      <c r="S43" t="s">
        <v>14</v>
      </c>
      <c r="T43">
        <v>328</v>
      </c>
      <c r="U43" t="str">
        <f>_xlfn.IFNA(_xlfn.IFS(E43&gt;Dash!$D$46, "Big", E43&lt;Dash!$D$49, "Small", E43&gt;Dash!$D$47, "Good"), "Norm")</f>
        <v>Norm</v>
      </c>
      <c r="V43" t="s">
        <v>13</v>
      </c>
      <c r="W43">
        <v>196</v>
      </c>
      <c r="X43" t="s">
        <v>28</v>
      </c>
    </row>
    <row r="44" spans="1:24" x14ac:dyDescent="0.25">
      <c r="A44" s="1">
        <v>45390</v>
      </c>
      <c r="B44" t="s">
        <v>23</v>
      </c>
      <c r="C44" t="s">
        <v>33</v>
      </c>
      <c r="D44">
        <v>1</v>
      </c>
      <c r="E44">
        <v>138.5</v>
      </c>
      <c r="J44" t="s">
        <v>34</v>
      </c>
      <c r="K44" t="s">
        <v>25</v>
      </c>
      <c r="L44" t="s">
        <v>35</v>
      </c>
      <c r="M44" t="s">
        <v>18</v>
      </c>
      <c r="N44">
        <v>9</v>
      </c>
      <c r="R44" t="s">
        <v>33</v>
      </c>
      <c r="S44" t="s">
        <v>53</v>
      </c>
      <c r="T44">
        <v>244.25</v>
      </c>
      <c r="U44" t="str">
        <f>_xlfn.IFNA(_xlfn.IFS(E44&gt;Dash!$D$46, "Big", E44&lt;Dash!$D$49, "Small", E44&gt;Dash!$D$47, "Good"), "Norm")</f>
        <v>Small</v>
      </c>
      <c r="V44" t="s">
        <v>33</v>
      </c>
      <c r="W44">
        <v>356.75</v>
      </c>
      <c r="X44" t="s">
        <v>46</v>
      </c>
    </row>
    <row r="45" spans="1:24" x14ac:dyDescent="0.25">
      <c r="A45" s="1">
        <v>45397</v>
      </c>
      <c r="B45" t="s">
        <v>23</v>
      </c>
      <c r="C45" t="s">
        <v>33</v>
      </c>
      <c r="D45" t="s">
        <v>14</v>
      </c>
      <c r="E45">
        <v>509.25</v>
      </c>
      <c r="F45">
        <v>1200</v>
      </c>
      <c r="J45" t="s">
        <v>21</v>
      </c>
      <c r="K45" t="s">
        <v>35</v>
      </c>
      <c r="L45" t="s">
        <v>17</v>
      </c>
      <c r="M45" t="s">
        <v>23</v>
      </c>
      <c r="N45">
        <v>5</v>
      </c>
      <c r="R45" t="s">
        <v>20</v>
      </c>
      <c r="S45" t="s">
        <v>46</v>
      </c>
      <c r="T45">
        <v>170</v>
      </c>
      <c r="U45" t="str">
        <f>_xlfn.IFNA(_xlfn.IFS(E45&gt;Dash!$D$46, "Big", E45&lt;Dash!$D$49, "Small", E45&gt;Dash!$D$47, "Good"), "Norm")</f>
        <v>Big</v>
      </c>
      <c r="V45" t="s">
        <v>20</v>
      </c>
      <c r="W45">
        <v>309</v>
      </c>
      <c r="X45">
        <v>1</v>
      </c>
    </row>
    <row r="46" spans="1:24" x14ac:dyDescent="0.25">
      <c r="A46" s="1">
        <v>45404</v>
      </c>
      <c r="B46" t="s">
        <v>23</v>
      </c>
      <c r="C46" t="s">
        <v>33</v>
      </c>
      <c r="D46">
        <v>1</v>
      </c>
      <c r="E46">
        <v>299.5</v>
      </c>
      <c r="J46" t="s">
        <v>34</v>
      </c>
      <c r="K46" t="s">
        <v>25</v>
      </c>
      <c r="L46" t="s">
        <v>32</v>
      </c>
      <c r="M46" t="s">
        <v>19</v>
      </c>
      <c r="N46">
        <v>7</v>
      </c>
      <c r="R46" t="s">
        <v>13</v>
      </c>
      <c r="S46" t="s">
        <v>28</v>
      </c>
      <c r="T46">
        <v>297.25</v>
      </c>
      <c r="U46" t="str">
        <f>_xlfn.IFNA(_xlfn.IFS(E46&gt;Dash!$D$46, "Big", E46&lt;Dash!$D$49, "Small", E46&gt;Dash!$D$47, "Good"), "Norm")</f>
        <v>Good</v>
      </c>
      <c r="V46" t="s">
        <v>33</v>
      </c>
      <c r="W46">
        <v>440</v>
      </c>
      <c r="X46" t="s">
        <v>14</v>
      </c>
    </row>
    <row r="47" spans="1:24" x14ac:dyDescent="0.25">
      <c r="A47" s="1">
        <v>45411</v>
      </c>
      <c r="B47" t="s">
        <v>23</v>
      </c>
      <c r="C47" t="s">
        <v>33</v>
      </c>
      <c r="D47" t="s">
        <v>28</v>
      </c>
      <c r="E47">
        <v>157.75</v>
      </c>
      <c r="F47">
        <v>2100</v>
      </c>
      <c r="G47">
        <v>2200</v>
      </c>
      <c r="J47" t="s">
        <v>29</v>
      </c>
      <c r="K47" t="s">
        <v>35</v>
      </c>
      <c r="L47" t="s">
        <v>17</v>
      </c>
      <c r="M47" t="s">
        <v>19</v>
      </c>
      <c r="N47">
        <v>14</v>
      </c>
      <c r="R47" t="s">
        <v>13</v>
      </c>
      <c r="S47" t="s">
        <v>14</v>
      </c>
      <c r="T47">
        <v>331.75</v>
      </c>
      <c r="U47" t="str">
        <f>_xlfn.IFNA(_xlfn.IFS(E47&gt;Dash!$D$46, "Big", E47&lt;Dash!$D$49, "Small", E47&gt;Dash!$D$47, "Good"), "Norm")</f>
        <v>Norm</v>
      </c>
      <c r="V47" t="s">
        <v>33</v>
      </c>
      <c r="W47">
        <v>233.25</v>
      </c>
      <c r="X47" t="s">
        <v>28</v>
      </c>
    </row>
    <row r="48" spans="1:24" x14ac:dyDescent="0.25">
      <c r="A48" s="1">
        <v>45432</v>
      </c>
      <c r="B48" t="s">
        <v>23</v>
      </c>
      <c r="C48" t="s">
        <v>33</v>
      </c>
      <c r="D48" t="s">
        <v>28</v>
      </c>
      <c r="E48">
        <v>159.25</v>
      </c>
      <c r="F48">
        <v>700</v>
      </c>
      <c r="G48">
        <v>700</v>
      </c>
      <c r="J48" t="s">
        <v>30</v>
      </c>
      <c r="K48" t="s">
        <v>25</v>
      </c>
      <c r="L48" t="s">
        <v>32</v>
      </c>
      <c r="M48" t="s">
        <v>18</v>
      </c>
      <c r="N48">
        <v>5</v>
      </c>
      <c r="R48" t="s">
        <v>33</v>
      </c>
      <c r="S48" t="s">
        <v>28</v>
      </c>
      <c r="T48">
        <v>130.75</v>
      </c>
      <c r="U48" t="str">
        <f>_xlfn.IFNA(_xlfn.IFS(E48&gt;Dash!$D$46, "Big", E48&lt;Dash!$D$49, "Small", E48&gt;Dash!$D$47, "Good"), "Norm")</f>
        <v>Norm</v>
      </c>
      <c r="V48" t="s">
        <v>33</v>
      </c>
      <c r="W48">
        <v>141.75</v>
      </c>
      <c r="X48" t="s">
        <v>14</v>
      </c>
    </row>
    <row r="49" spans="1:24" x14ac:dyDescent="0.25">
      <c r="A49" s="1">
        <v>45446</v>
      </c>
      <c r="B49" t="s">
        <v>23</v>
      </c>
      <c r="C49" t="s">
        <v>33</v>
      </c>
      <c r="D49" t="s">
        <v>28</v>
      </c>
      <c r="E49">
        <v>319.75</v>
      </c>
      <c r="F49">
        <v>200</v>
      </c>
      <c r="G49">
        <v>200</v>
      </c>
      <c r="J49" t="s">
        <v>30</v>
      </c>
      <c r="K49" t="s">
        <v>35</v>
      </c>
      <c r="L49" t="s">
        <v>17</v>
      </c>
      <c r="M49" t="s">
        <v>23</v>
      </c>
      <c r="N49">
        <v>9</v>
      </c>
      <c r="R49" t="s">
        <v>20</v>
      </c>
      <c r="S49">
        <v>1</v>
      </c>
      <c r="T49">
        <v>191</v>
      </c>
      <c r="U49" t="str">
        <f>_xlfn.IFNA(_xlfn.IFS(E49&gt;Dash!$D$46, "Big", E49&lt;Dash!$D$49, "Small", E49&gt;Dash!$D$47, "Good"), "Norm")</f>
        <v>Good</v>
      </c>
      <c r="V49" t="s">
        <v>33</v>
      </c>
      <c r="W49">
        <v>427</v>
      </c>
      <c r="X49" t="s">
        <v>46</v>
      </c>
    </row>
    <row r="50" spans="1:24" x14ac:dyDescent="0.25">
      <c r="A50" s="1">
        <v>45460</v>
      </c>
      <c r="B50" t="s">
        <v>23</v>
      </c>
      <c r="C50" t="s">
        <v>33</v>
      </c>
      <c r="D50" t="s">
        <v>40</v>
      </c>
      <c r="E50">
        <v>367.25</v>
      </c>
      <c r="F50">
        <v>1800</v>
      </c>
      <c r="J50" t="s">
        <v>29</v>
      </c>
      <c r="K50" t="s">
        <v>25</v>
      </c>
      <c r="L50" t="s">
        <v>32</v>
      </c>
      <c r="M50" t="s">
        <v>19</v>
      </c>
      <c r="N50">
        <v>7</v>
      </c>
      <c r="R50" t="s">
        <v>33</v>
      </c>
      <c r="S50">
        <v>1</v>
      </c>
      <c r="T50">
        <v>143.5</v>
      </c>
      <c r="U50" t="str">
        <f>_xlfn.IFNA(_xlfn.IFS(E50&gt;Dash!$D$46, "Big", E50&lt;Dash!$D$49, "Small", E50&gt;Dash!$D$47, "Good"), "Norm")</f>
        <v>Good</v>
      </c>
      <c r="V50" t="s">
        <v>20</v>
      </c>
      <c r="W50">
        <v>159.25</v>
      </c>
      <c r="X50" t="s">
        <v>28</v>
      </c>
    </row>
    <row r="51" spans="1:24" x14ac:dyDescent="0.25">
      <c r="A51" s="1">
        <v>45474</v>
      </c>
      <c r="B51" t="s">
        <v>23</v>
      </c>
      <c r="C51" t="s">
        <v>33</v>
      </c>
      <c r="D51" t="s">
        <v>46</v>
      </c>
      <c r="E51">
        <v>262.25</v>
      </c>
      <c r="F51">
        <v>500</v>
      </c>
      <c r="G51">
        <v>500</v>
      </c>
      <c r="J51" t="s">
        <v>15</v>
      </c>
      <c r="K51" t="s">
        <v>25</v>
      </c>
      <c r="L51" t="s">
        <v>32</v>
      </c>
      <c r="M51" t="s">
        <v>23</v>
      </c>
      <c r="N51">
        <v>10</v>
      </c>
      <c r="R51" t="s">
        <v>20</v>
      </c>
      <c r="S51" t="s">
        <v>28</v>
      </c>
      <c r="T51">
        <v>332</v>
      </c>
      <c r="U51" t="str">
        <f>_xlfn.IFNA(_xlfn.IFS(E51&gt;Dash!$D$46, "Big", E51&lt;Dash!$D$49, "Small", E51&gt;Dash!$D$47, "Good"), "Norm")</f>
        <v>Good</v>
      </c>
      <c r="V51" t="s">
        <v>33</v>
      </c>
      <c r="W51">
        <v>367</v>
      </c>
      <c r="X51" t="s">
        <v>43</v>
      </c>
    </row>
    <row r="52" spans="1:24" x14ac:dyDescent="0.25">
      <c r="A52" s="1">
        <v>45488</v>
      </c>
      <c r="B52" t="s">
        <v>23</v>
      </c>
      <c r="C52" t="s">
        <v>33</v>
      </c>
      <c r="D52" t="s">
        <v>43</v>
      </c>
      <c r="E52">
        <v>290.75</v>
      </c>
      <c r="F52">
        <v>1100</v>
      </c>
      <c r="G52">
        <v>1100</v>
      </c>
      <c r="J52" t="s">
        <v>27</v>
      </c>
      <c r="K52" t="s">
        <v>35</v>
      </c>
      <c r="L52" t="s">
        <v>17</v>
      </c>
      <c r="M52" t="s">
        <v>23</v>
      </c>
      <c r="N52">
        <v>5</v>
      </c>
      <c r="R52" t="s">
        <v>33</v>
      </c>
      <c r="S52" t="s">
        <v>46</v>
      </c>
      <c r="T52">
        <v>220</v>
      </c>
      <c r="U52" t="str">
        <f>_xlfn.IFNA(_xlfn.IFS(E52&gt;Dash!$D$46, "Big", E52&lt;Dash!$D$49, "Small", E52&gt;Dash!$D$47, "Good"), "Norm")</f>
        <v>Good</v>
      </c>
      <c r="V52" t="s">
        <v>33</v>
      </c>
      <c r="W52">
        <v>406</v>
      </c>
      <c r="X52" t="s">
        <v>46</v>
      </c>
    </row>
    <row r="53" spans="1:24" x14ac:dyDescent="0.25">
      <c r="A53" s="1">
        <v>45502</v>
      </c>
      <c r="B53" t="s">
        <v>23</v>
      </c>
      <c r="C53" t="s">
        <v>33</v>
      </c>
      <c r="D53" t="s">
        <v>43</v>
      </c>
      <c r="E53">
        <v>264</v>
      </c>
      <c r="F53">
        <v>2000</v>
      </c>
      <c r="G53">
        <v>2100</v>
      </c>
      <c r="J53" t="s">
        <v>29</v>
      </c>
      <c r="K53" t="s">
        <v>35</v>
      </c>
      <c r="L53" t="s">
        <v>25</v>
      </c>
      <c r="M53" t="s">
        <v>19</v>
      </c>
      <c r="N53">
        <v>13</v>
      </c>
      <c r="R53" t="s">
        <v>33</v>
      </c>
      <c r="S53" t="s">
        <v>14</v>
      </c>
      <c r="T53">
        <v>516.75</v>
      </c>
      <c r="U53" t="str">
        <f>_xlfn.IFNA(_xlfn.IFS(E53&gt;Dash!$D$46, "Big", E53&lt;Dash!$D$49, "Small", E53&gt;Dash!$D$47, "Good"), "Norm")</f>
        <v>Good</v>
      </c>
      <c r="V53" t="s">
        <v>13</v>
      </c>
      <c r="W53">
        <v>257.5</v>
      </c>
      <c r="X53">
        <v>1</v>
      </c>
    </row>
    <row r="54" spans="1:24" x14ac:dyDescent="0.25">
      <c r="A54" s="1">
        <v>45607</v>
      </c>
      <c r="B54" t="s">
        <v>23</v>
      </c>
      <c r="C54" t="s">
        <v>33</v>
      </c>
      <c r="D54" t="s">
        <v>48</v>
      </c>
      <c r="E54">
        <v>242.5</v>
      </c>
      <c r="F54">
        <v>1800</v>
      </c>
      <c r="G54">
        <v>900</v>
      </c>
      <c r="H54">
        <v>1300</v>
      </c>
      <c r="I54">
        <v>1300</v>
      </c>
      <c r="J54" t="s">
        <v>29</v>
      </c>
      <c r="K54" t="s">
        <v>35</v>
      </c>
      <c r="L54" t="s">
        <v>17</v>
      </c>
      <c r="M54" t="s">
        <v>18</v>
      </c>
      <c r="N54">
        <v>9</v>
      </c>
      <c r="R54" t="s">
        <v>33</v>
      </c>
      <c r="S54" t="s">
        <v>14</v>
      </c>
      <c r="T54">
        <v>197</v>
      </c>
      <c r="U54" t="str">
        <f>_xlfn.IFNA(_xlfn.IFS(E54&gt;Dash!$D$46, "Big", E54&lt;Dash!$D$49, "Small", E54&gt;Dash!$D$47, "Good"), "Norm")</f>
        <v>Norm</v>
      </c>
      <c r="V54" t="s">
        <v>20</v>
      </c>
      <c r="W54">
        <v>108.75</v>
      </c>
      <c r="X54" t="s">
        <v>28</v>
      </c>
    </row>
    <row r="55" spans="1:24" x14ac:dyDescent="0.25">
      <c r="A55" s="1">
        <v>45621</v>
      </c>
      <c r="B55" t="s">
        <v>23</v>
      </c>
      <c r="C55" t="s">
        <v>33</v>
      </c>
      <c r="D55" t="s">
        <v>43</v>
      </c>
      <c r="E55">
        <v>300.75</v>
      </c>
      <c r="F55">
        <v>1800</v>
      </c>
      <c r="G55">
        <v>1000</v>
      </c>
      <c r="J55" t="s">
        <v>29</v>
      </c>
      <c r="K55" t="s">
        <v>35</v>
      </c>
      <c r="L55" t="s">
        <v>17</v>
      </c>
      <c r="M55" t="s">
        <v>19</v>
      </c>
      <c r="N55">
        <v>5</v>
      </c>
      <c r="R55" t="s">
        <v>24</v>
      </c>
      <c r="S55" t="s">
        <v>46</v>
      </c>
      <c r="T55">
        <v>121</v>
      </c>
      <c r="U55" t="str">
        <f>_xlfn.IFNA(_xlfn.IFS(E55&gt;Dash!$D$46, "Big", E55&lt;Dash!$D$49, "Small", E55&gt;Dash!$D$47, "Good"), "Norm")</f>
        <v>Good</v>
      </c>
      <c r="V55" t="s">
        <v>20</v>
      </c>
      <c r="W55">
        <v>157.75</v>
      </c>
      <c r="X55">
        <v>1</v>
      </c>
    </row>
    <row r="56" spans="1:24" x14ac:dyDescent="0.25">
      <c r="A56" s="1">
        <v>45649</v>
      </c>
      <c r="B56" t="s">
        <v>23</v>
      </c>
      <c r="C56" t="s">
        <v>33</v>
      </c>
      <c r="D56">
        <v>1</v>
      </c>
      <c r="E56">
        <v>300</v>
      </c>
      <c r="J56" t="s">
        <v>34</v>
      </c>
      <c r="K56" t="s">
        <v>25</v>
      </c>
      <c r="L56" t="s">
        <v>35</v>
      </c>
      <c r="M56" t="s">
        <v>36</v>
      </c>
      <c r="N56">
        <v>1</v>
      </c>
      <c r="R56" t="s">
        <v>13</v>
      </c>
      <c r="S56" t="s">
        <v>28</v>
      </c>
      <c r="T56">
        <v>297</v>
      </c>
      <c r="U56" t="str">
        <f>_xlfn.IFNA(_xlfn.IFS(E56&gt;Dash!$D$46, "Big", E56&lt;Dash!$D$49, "Small", E56&gt;Dash!$D$47, "Good"), "Norm")</f>
        <v>Good</v>
      </c>
      <c r="V56" t="s">
        <v>20</v>
      </c>
      <c r="W56">
        <v>741.75</v>
      </c>
      <c r="X56" t="s">
        <v>38</v>
      </c>
    </row>
    <row r="57" spans="1:24" x14ac:dyDescent="0.25">
      <c r="A57" s="1">
        <v>45183</v>
      </c>
      <c r="B57" t="s">
        <v>36</v>
      </c>
      <c r="C57" t="s">
        <v>33</v>
      </c>
      <c r="D57" t="s">
        <v>28</v>
      </c>
      <c r="E57">
        <v>180.5</v>
      </c>
      <c r="F57">
        <v>2300</v>
      </c>
      <c r="G57">
        <v>0</v>
      </c>
      <c r="J57" t="s">
        <v>29</v>
      </c>
      <c r="K57" t="s">
        <v>25</v>
      </c>
      <c r="L57" t="s">
        <v>32</v>
      </c>
      <c r="M57" t="s">
        <v>18</v>
      </c>
      <c r="N57">
        <v>10</v>
      </c>
      <c r="P57">
        <v>1400</v>
      </c>
      <c r="Q57">
        <v>1500</v>
      </c>
      <c r="R57" t="s">
        <v>13</v>
      </c>
      <c r="S57" t="s">
        <v>43</v>
      </c>
      <c r="T57">
        <v>121.5</v>
      </c>
      <c r="U57" t="str">
        <f>_xlfn.IFNA(_xlfn.IFS(E57&gt;Dash!$D$46, "Big", E57&lt;Dash!$D$49, "Small", E57&gt;Dash!$D$47, "Good"), "Norm")</f>
        <v>Norm</v>
      </c>
      <c r="V57" t="s">
        <v>33</v>
      </c>
      <c r="W57">
        <v>211.5</v>
      </c>
      <c r="X57" t="s">
        <v>46</v>
      </c>
    </row>
    <row r="58" spans="1:24" x14ac:dyDescent="0.25">
      <c r="A58" s="1">
        <v>45197</v>
      </c>
      <c r="B58" t="s">
        <v>36</v>
      </c>
      <c r="C58" t="s">
        <v>33</v>
      </c>
      <c r="D58" t="s">
        <v>28</v>
      </c>
      <c r="E58">
        <v>289.5</v>
      </c>
      <c r="F58">
        <v>1100</v>
      </c>
      <c r="J58" t="s">
        <v>27</v>
      </c>
      <c r="K58" t="s">
        <v>25</v>
      </c>
      <c r="L58" t="s">
        <v>35</v>
      </c>
      <c r="M58" t="s">
        <v>19</v>
      </c>
      <c r="N58">
        <v>6</v>
      </c>
      <c r="P58">
        <v>1400</v>
      </c>
      <c r="Q58">
        <v>1500</v>
      </c>
      <c r="R58" t="s">
        <v>33</v>
      </c>
      <c r="S58" t="s">
        <v>43</v>
      </c>
      <c r="T58">
        <v>249.75</v>
      </c>
      <c r="U58" t="str">
        <f>_xlfn.IFNA(_xlfn.IFS(E58&gt;Dash!$D$46, "Big", E58&lt;Dash!$D$49, "Small", E58&gt;Dash!$D$47, "Good"), "Norm")</f>
        <v>Good</v>
      </c>
      <c r="V58" t="s">
        <v>33</v>
      </c>
      <c r="W58">
        <v>235.5</v>
      </c>
      <c r="X58" t="s">
        <v>46</v>
      </c>
    </row>
    <row r="59" spans="1:24" x14ac:dyDescent="0.25">
      <c r="A59" s="1">
        <v>45204</v>
      </c>
      <c r="B59" t="s">
        <v>36</v>
      </c>
      <c r="C59" t="s">
        <v>33</v>
      </c>
      <c r="D59" t="s">
        <v>43</v>
      </c>
      <c r="E59">
        <v>242.5</v>
      </c>
      <c r="F59">
        <v>800</v>
      </c>
      <c r="G59">
        <v>800</v>
      </c>
      <c r="J59" t="s">
        <v>27</v>
      </c>
      <c r="K59" t="s">
        <v>35</v>
      </c>
      <c r="L59" t="s">
        <v>25</v>
      </c>
      <c r="M59" t="s">
        <v>23</v>
      </c>
      <c r="N59">
        <v>9</v>
      </c>
      <c r="P59">
        <v>1100</v>
      </c>
      <c r="Q59">
        <v>1400</v>
      </c>
      <c r="R59" t="s">
        <v>33</v>
      </c>
      <c r="S59" t="s">
        <v>38</v>
      </c>
      <c r="T59">
        <v>500.25</v>
      </c>
      <c r="U59" t="str">
        <f>_xlfn.IFNA(_xlfn.IFS(E59&gt;Dash!$D$46, "Big", E59&lt;Dash!$D$49, "Small", E59&gt;Dash!$D$47, "Good"), "Norm")</f>
        <v>Norm</v>
      </c>
      <c r="V59" t="s">
        <v>20</v>
      </c>
      <c r="W59">
        <v>221.5</v>
      </c>
      <c r="X59" t="s">
        <v>46</v>
      </c>
    </row>
    <row r="60" spans="1:24" x14ac:dyDescent="0.25">
      <c r="A60" s="1">
        <v>45211</v>
      </c>
      <c r="B60" t="s">
        <v>36</v>
      </c>
      <c r="C60" t="s">
        <v>33</v>
      </c>
      <c r="D60" t="s">
        <v>43</v>
      </c>
      <c r="E60">
        <v>252.5</v>
      </c>
      <c r="F60">
        <v>2000</v>
      </c>
      <c r="G60">
        <v>2200</v>
      </c>
      <c r="J60" t="s">
        <v>29</v>
      </c>
      <c r="K60" t="s">
        <v>32</v>
      </c>
      <c r="L60" t="s">
        <v>17</v>
      </c>
      <c r="M60" t="s">
        <v>18</v>
      </c>
      <c r="N60">
        <v>8</v>
      </c>
      <c r="P60">
        <v>1400</v>
      </c>
      <c r="Q60">
        <v>1500</v>
      </c>
      <c r="R60" t="s">
        <v>33</v>
      </c>
      <c r="S60" t="s">
        <v>14</v>
      </c>
      <c r="T60">
        <v>304.5</v>
      </c>
      <c r="U60" t="str">
        <f>_xlfn.IFNA(_xlfn.IFS(E60&gt;Dash!$D$46, "Big", E60&lt;Dash!$D$49, "Small", E60&gt;Dash!$D$47, "Good"), "Norm")</f>
        <v>Norm</v>
      </c>
      <c r="V60" t="s">
        <v>33</v>
      </c>
      <c r="W60">
        <v>134.25</v>
      </c>
      <c r="X60" t="s">
        <v>28</v>
      </c>
    </row>
    <row r="61" spans="1:24" x14ac:dyDescent="0.25">
      <c r="A61" s="1">
        <v>45218</v>
      </c>
      <c r="B61" t="s">
        <v>36</v>
      </c>
      <c r="C61" t="s">
        <v>33</v>
      </c>
      <c r="D61" t="s">
        <v>43</v>
      </c>
      <c r="E61">
        <v>286</v>
      </c>
      <c r="F61">
        <v>300</v>
      </c>
      <c r="G61">
        <v>400</v>
      </c>
      <c r="J61" t="s">
        <v>15</v>
      </c>
      <c r="K61" t="s">
        <v>32</v>
      </c>
      <c r="L61" t="s">
        <v>42</v>
      </c>
      <c r="M61" t="s">
        <v>23</v>
      </c>
      <c r="N61">
        <v>5</v>
      </c>
      <c r="P61">
        <v>1200</v>
      </c>
      <c r="Q61">
        <v>1600</v>
      </c>
      <c r="R61" t="s">
        <v>33</v>
      </c>
      <c r="S61" t="s">
        <v>14</v>
      </c>
      <c r="T61">
        <v>234.25</v>
      </c>
      <c r="U61" t="str">
        <f>_xlfn.IFNA(_xlfn.IFS(E61&gt;Dash!$D$46, "Big", E61&lt;Dash!$D$49, "Small", E61&gt;Dash!$D$47, "Good"), "Norm")</f>
        <v>Good</v>
      </c>
      <c r="V61" t="s">
        <v>13</v>
      </c>
      <c r="W61">
        <v>244.5</v>
      </c>
      <c r="X61" t="s">
        <v>14</v>
      </c>
    </row>
    <row r="62" spans="1:24" x14ac:dyDescent="0.25">
      <c r="A62" s="1">
        <v>45225</v>
      </c>
      <c r="B62" t="s">
        <v>36</v>
      </c>
      <c r="C62" t="s">
        <v>33</v>
      </c>
      <c r="D62" t="s">
        <v>47</v>
      </c>
      <c r="E62">
        <v>318.75</v>
      </c>
      <c r="F62">
        <v>1800</v>
      </c>
      <c r="J62" t="s">
        <v>27</v>
      </c>
      <c r="K62" t="s">
        <v>35</v>
      </c>
      <c r="L62" t="s">
        <v>17</v>
      </c>
      <c r="M62" t="s">
        <v>19</v>
      </c>
      <c r="N62">
        <v>7</v>
      </c>
      <c r="O62" t="s">
        <v>69</v>
      </c>
      <c r="P62">
        <v>1500</v>
      </c>
      <c r="Q62">
        <v>1500</v>
      </c>
      <c r="R62" t="s">
        <v>33</v>
      </c>
      <c r="S62">
        <v>1</v>
      </c>
      <c r="T62">
        <v>198</v>
      </c>
      <c r="U62" t="str">
        <f>_xlfn.IFNA(_xlfn.IFS(E62&gt;Dash!$D$46, "Big", E62&lt;Dash!$D$49, "Small", E62&gt;Dash!$D$47, "Good"), "Norm")</f>
        <v>Good</v>
      </c>
      <c r="V62" t="s">
        <v>13</v>
      </c>
      <c r="W62">
        <v>339</v>
      </c>
      <c r="X62" t="s">
        <v>14</v>
      </c>
    </row>
    <row r="63" spans="1:24" x14ac:dyDescent="0.25">
      <c r="A63" s="1">
        <v>45239</v>
      </c>
      <c r="B63" t="s">
        <v>36</v>
      </c>
      <c r="C63" t="s">
        <v>33</v>
      </c>
      <c r="D63" t="s">
        <v>43</v>
      </c>
      <c r="E63">
        <v>217</v>
      </c>
      <c r="F63">
        <v>900</v>
      </c>
      <c r="G63">
        <v>1000</v>
      </c>
      <c r="J63" t="s">
        <v>27</v>
      </c>
      <c r="K63" t="s">
        <v>35</v>
      </c>
      <c r="L63" t="s">
        <v>25</v>
      </c>
      <c r="M63" t="s">
        <v>19</v>
      </c>
      <c r="N63">
        <v>5</v>
      </c>
      <c r="P63">
        <v>1100</v>
      </c>
      <c r="Q63">
        <v>1500</v>
      </c>
      <c r="R63" t="s">
        <v>20</v>
      </c>
      <c r="S63" t="s">
        <v>38</v>
      </c>
      <c r="T63">
        <v>339.25</v>
      </c>
      <c r="U63" t="str">
        <f>_xlfn.IFNA(_xlfn.IFS(E63&gt;Dash!$D$46, "Big", E63&lt;Dash!$D$49, "Small", E63&gt;Dash!$D$47, "Good"), "Norm")</f>
        <v>Norm</v>
      </c>
      <c r="V63" t="s">
        <v>33</v>
      </c>
      <c r="W63">
        <v>130.75</v>
      </c>
      <c r="X63" t="s">
        <v>43</v>
      </c>
    </row>
    <row r="64" spans="1:24" x14ac:dyDescent="0.25">
      <c r="A64" s="1">
        <v>45246</v>
      </c>
      <c r="B64" t="s">
        <v>36</v>
      </c>
      <c r="C64" t="s">
        <v>33</v>
      </c>
      <c r="D64" t="s">
        <v>46</v>
      </c>
      <c r="E64">
        <v>110</v>
      </c>
      <c r="F64">
        <v>2100</v>
      </c>
      <c r="G64">
        <v>2200</v>
      </c>
      <c r="J64" t="s">
        <v>37</v>
      </c>
      <c r="K64" t="s">
        <v>25</v>
      </c>
      <c r="L64" t="s">
        <v>32</v>
      </c>
      <c r="M64" t="s">
        <v>19</v>
      </c>
      <c r="N64">
        <v>9</v>
      </c>
      <c r="P64">
        <v>1300</v>
      </c>
      <c r="Q64">
        <v>1500</v>
      </c>
      <c r="R64" t="s">
        <v>33</v>
      </c>
      <c r="S64" t="s">
        <v>43</v>
      </c>
      <c r="T64">
        <v>115</v>
      </c>
      <c r="U64" t="str">
        <f>_xlfn.IFNA(_xlfn.IFS(E64&gt;Dash!$D$46, "Big", E64&lt;Dash!$D$49, "Small", E64&gt;Dash!$D$47, "Good"), "Norm")</f>
        <v>Small</v>
      </c>
      <c r="V64" t="s">
        <v>33</v>
      </c>
      <c r="W64">
        <v>217</v>
      </c>
      <c r="X64" t="s">
        <v>43</v>
      </c>
    </row>
    <row r="65" spans="1:24" x14ac:dyDescent="0.25">
      <c r="A65" s="1">
        <v>45260</v>
      </c>
      <c r="B65" t="s">
        <v>36</v>
      </c>
      <c r="C65" t="s">
        <v>33</v>
      </c>
      <c r="D65" t="s">
        <v>14</v>
      </c>
      <c r="E65">
        <v>242.5</v>
      </c>
      <c r="F65">
        <v>900</v>
      </c>
      <c r="J65" t="s">
        <v>45</v>
      </c>
      <c r="K65" t="s">
        <v>35</v>
      </c>
      <c r="L65" t="s">
        <v>17</v>
      </c>
      <c r="M65" t="s">
        <v>19</v>
      </c>
      <c r="N65">
        <v>8</v>
      </c>
      <c r="P65">
        <v>1500</v>
      </c>
      <c r="Q65">
        <v>1500</v>
      </c>
      <c r="R65" t="s">
        <v>33</v>
      </c>
      <c r="S65">
        <v>1</v>
      </c>
      <c r="T65">
        <v>186</v>
      </c>
      <c r="U65" t="str">
        <f>_xlfn.IFNA(_xlfn.IFS(E65&gt;Dash!$D$46, "Big", E65&lt;Dash!$D$49, "Small", E65&gt;Dash!$D$47, "Good"), "Norm")</f>
        <v>Norm</v>
      </c>
      <c r="V65" t="s">
        <v>33</v>
      </c>
      <c r="W65">
        <v>195</v>
      </c>
      <c r="X65" t="s">
        <v>43</v>
      </c>
    </row>
    <row r="66" spans="1:24" x14ac:dyDescent="0.25">
      <c r="A66" s="1">
        <v>45288</v>
      </c>
      <c r="B66" t="s">
        <v>36</v>
      </c>
      <c r="C66" t="s">
        <v>33</v>
      </c>
      <c r="D66" t="s">
        <v>43</v>
      </c>
      <c r="E66">
        <v>87.5</v>
      </c>
      <c r="F66">
        <v>1900</v>
      </c>
      <c r="G66">
        <v>900</v>
      </c>
      <c r="J66" t="s">
        <v>29</v>
      </c>
      <c r="K66" t="s">
        <v>35</v>
      </c>
      <c r="L66" t="s">
        <v>17</v>
      </c>
      <c r="M66" t="s">
        <v>58</v>
      </c>
      <c r="N66">
        <v>0</v>
      </c>
      <c r="P66">
        <v>1300</v>
      </c>
      <c r="Q66">
        <v>1500</v>
      </c>
      <c r="R66" t="s">
        <v>41</v>
      </c>
      <c r="S66" t="s">
        <v>43</v>
      </c>
      <c r="T66">
        <v>169.25</v>
      </c>
      <c r="U66" t="str">
        <f>_xlfn.IFNA(_xlfn.IFS(E66&gt;Dash!$D$46, "Big", E66&lt;Dash!$D$49, "Small", E66&gt;Dash!$D$47, "Good"), "Norm")</f>
        <v>Small</v>
      </c>
      <c r="V66" t="s">
        <v>33</v>
      </c>
      <c r="W66">
        <v>72.25</v>
      </c>
      <c r="X66" t="s">
        <v>28</v>
      </c>
    </row>
    <row r="67" spans="1:24" x14ac:dyDescent="0.25">
      <c r="A67" s="1">
        <v>45302</v>
      </c>
      <c r="B67" t="s">
        <v>36</v>
      </c>
      <c r="C67" t="s">
        <v>33</v>
      </c>
      <c r="D67" t="s">
        <v>38</v>
      </c>
      <c r="E67">
        <v>304</v>
      </c>
      <c r="F67">
        <v>1900</v>
      </c>
      <c r="G67">
        <v>800</v>
      </c>
      <c r="H67">
        <v>1100</v>
      </c>
      <c r="J67" t="s">
        <v>29</v>
      </c>
      <c r="K67" t="s">
        <v>35</v>
      </c>
      <c r="L67" t="s">
        <v>25</v>
      </c>
      <c r="M67" t="s">
        <v>36</v>
      </c>
      <c r="N67">
        <v>6</v>
      </c>
      <c r="R67" t="s">
        <v>41</v>
      </c>
      <c r="S67">
        <v>1</v>
      </c>
      <c r="T67">
        <v>147.25</v>
      </c>
      <c r="U67" t="str">
        <f>_xlfn.IFNA(_xlfn.IFS(E67&gt;Dash!$D$46, "Big", E67&lt;Dash!$D$49, "Small", E67&gt;Dash!$D$47, "Good"), "Norm")</f>
        <v>Good</v>
      </c>
      <c r="V67" t="s">
        <v>33</v>
      </c>
      <c r="W67">
        <v>181.5</v>
      </c>
      <c r="X67" t="s">
        <v>28</v>
      </c>
    </row>
    <row r="68" spans="1:24" x14ac:dyDescent="0.25">
      <c r="A68" s="1">
        <v>45316</v>
      </c>
      <c r="B68" t="s">
        <v>36</v>
      </c>
      <c r="C68" t="s">
        <v>33</v>
      </c>
      <c r="D68" t="s">
        <v>46</v>
      </c>
      <c r="E68">
        <v>210</v>
      </c>
      <c r="F68">
        <v>1400</v>
      </c>
      <c r="G68">
        <v>1500</v>
      </c>
      <c r="J68" t="s">
        <v>21</v>
      </c>
      <c r="K68" t="s">
        <v>35</v>
      </c>
      <c r="L68" t="s">
        <v>17</v>
      </c>
      <c r="M68" t="s">
        <v>18</v>
      </c>
      <c r="N68">
        <v>5</v>
      </c>
      <c r="R68" t="s">
        <v>20</v>
      </c>
      <c r="S68" t="s">
        <v>14</v>
      </c>
      <c r="T68">
        <v>128.5</v>
      </c>
      <c r="U68" t="str">
        <f>_xlfn.IFNA(_xlfn.IFS(E68&gt;Dash!$D$46, "Big", E68&lt;Dash!$D$49, "Small", E68&gt;Dash!$D$47, "Good"), "Norm")</f>
        <v>Norm</v>
      </c>
      <c r="V68" t="s">
        <v>13</v>
      </c>
      <c r="W68">
        <v>189.5</v>
      </c>
      <c r="X68" t="s">
        <v>28</v>
      </c>
    </row>
    <row r="69" spans="1:24" x14ac:dyDescent="0.25">
      <c r="A69" s="1">
        <v>45330</v>
      </c>
      <c r="B69" t="s">
        <v>36</v>
      </c>
      <c r="C69" t="s">
        <v>33</v>
      </c>
      <c r="D69" t="s">
        <v>28</v>
      </c>
      <c r="E69">
        <v>104.25</v>
      </c>
      <c r="F69">
        <v>1000</v>
      </c>
      <c r="J69" t="s">
        <v>27</v>
      </c>
      <c r="K69" t="s">
        <v>25</v>
      </c>
      <c r="L69" t="s">
        <v>32</v>
      </c>
      <c r="M69" t="s">
        <v>23</v>
      </c>
      <c r="N69">
        <v>2</v>
      </c>
      <c r="R69" t="s">
        <v>13</v>
      </c>
      <c r="S69" t="s">
        <v>28</v>
      </c>
      <c r="T69">
        <v>196</v>
      </c>
      <c r="U69" t="str">
        <f>_xlfn.IFNA(_xlfn.IFS(E69&gt;Dash!$D$46, "Big", E69&lt;Dash!$D$49, "Small", E69&gt;Dash!$D$47, "Good"), "Norm")</f>
        <v>Small</v>
      </c>
      <c r="V69" t="s">
        <v>24</v>
      </c>
      <c r="W69">
        <v>170</v>
      </c>
      <c r="X69" t="s">
        <v>28</v>
      </c>
    </row>
    <row r="70" spans="1:24" x14ac:dyDescent="0.25">
      <c r="A70" s="1">
        <v>45337</v>
      </c>
      <c r="B70" t="s">
        <v>36</v>
      </c>
      <c r="C70" t="s">
        <v>33</v>
      </c>
      <c r="D70" t="s">
        <v>28</v>
      </c>
      <c r="E70">
        <v>153</v>
      </c>
      <c r="F70">
        <v>100</v>
      </c>
      <c r="G70">
        <v>900</v>
      </c>
      <c r="J70" t="s">
        <v>29</v>
      </c>
      <c r="K70" t="s">
        <v>25</v>
      </c>
      <c r="L70" t="s">
        <v>44</v>
      </c>
      <c r="M70" t="s">
        <v>19</v>
      </c>
      <c r="N70">
        <v>10</v>
      </c>
      <c r="R70" t="s">
        <v>41</v>
      </c>
      <c r="S70" t="s">
        <v>48</v>
      </c>
      <c r="T70">
        <v>292.75</v>
      </c>
      <c r="U70" t="str">
        <f>_xlfn.IFNA(_xlfn.IFS(E70&gt;Dash!$D$46, "Big", E70&lt;Dash!$D$49, "Small", E70&gt;Dash!$D$47, "Good"), "Norm")</f>
        <v>Small</v>
      </c>
      <c r="V70" t="s">
        <v>13</v>
      </c>
      <c r="W70">
        <v>196.75</v>
      </c>
      <c r="X70">
        <v>1</v>
      </c>
    </row>
    <row r="71" spans="1:24" x14ac:dyDescent="0.25">
      <c r="A71" s="1">
        <v>45379</v>
      </c>
      <c r="B71" t="s">
        <v>36</v>
      </c>
      <c r="C71" t="s">
        <v>33</v>
      </c>
      <c r="D71">
        <v>1</v>
      </c>
      <c r="E71">
        <v>90</v>
      </c>
      <c r="J71" t="s">
        <v>34</v>
      </c>
      <c r="K71" t="s">
        <v>35</v>
      </c>
      <c r="L71" t="s">
        <v>17</v>
      </c>
      <c r="M71" t="s">
        <v>19</v>
      </c>
      <c r="N71">
        <v>6</v>
      </c>
      <c r="R71" t="s">
        <v>13</v>
      </c>
      <c r="S71" t="s">
        <v>48</v>
      </c>
      <c r="T71">
        <v>192.5</v>
      </c>
      <c r="U71" t="str">
        <f>_xlfn.IFNA(_xlfn.IFS(E71&gt;Dash!$D$46, "Big", E71&lt;Dash!$D$49, "Small", E71&gt;Dash!$D$47, "Good"), "Norm")</f>
        <v>Small</v>
      </c>
      <c r="V71" t="s">
        <v>33</v>
      </c>
      <c r="W71">
        <v>193.25</v>
      </c>
      <c r="X71" t="s">
        <v>46</v>
      </c>
    </row>
    <row r="72" spans="1:24" x14ac:dyDescent="0.25">
      <c r="A72" s="1">
        <v>45386</v>
      </c>
      <c r="B72" t="s">
        <v>36</v>
      </c>
      <c r="C72" t="s">
        <v>33</v>
      </c>
      <c r="D72" t="s">
        <v>48</v>
      </c>
      <c r="E72">
        <v>498.75</v>
      </c>
      <c r="F72">
        <v>1900</v>
      </c>
      <c r="G72">
        <v>1900</v>
      </c>
      <c r="J72" t="s">
        <v>29</v>
      </c>
      <c r="K72" t="s">
        <v>35</v>
      </c>
      <c r="L72" t="s">
        <v>17</v>
      </c>
      <c r="M72" t="s">
        <v>23</v>
      </c>
      <c r="N72">
        <v>9</v>
      </c>
      <c r="R72" t="s">
        <v>33</v>
      </c>
      <c r="S72" t="s">
        <v>46</v>
      </c>
      <c r="T72">
        <v>356.75</v>
      </c>
      <c r="U72" t="str">
        <f>_xlfn.IFNA(_xlfn.IFS(E72&gt;Dash!$D$46, "Big", E72&lt;Dash!$D$49, "Small", E72&gt;Dash!$D$47, "Good"), "Norm")</f>
        <v>Big</v>
      </c>
      <c r="V72" t="s">
        <v>33</v>
      </c>
      <c r="W72">
        <v>219.25</v>
      </c>
      <c r="X72">
        <v>1</v>
      </c>
    </row>
    <row r="73" spans="1:24" x14ac:dyDescent="0.25">
      <c r="A73" s="1">
        <v>45393</v>
      </c>
      <c r="B73" t="s">
        <v>36</v>
      </c>
      <c r="C73" t="s">
        <v>33</v>
      </c>
      <c r="D73" t="s">
        <v>28</v>
      </c>
      <c r="E73">
        <v>430.75</v>
      </c>
      <c r="F73">
        <v>1400</v>
      </c>
      <c r="J73" t="s">
        <v>49</v>
      </c>
      <c r="K73" t="s">
        <v>25</v>
      </c>
      <c r="L73" t="s">
        <v>32</v>
      </c>
      <c r="M73" t="s">
        <v>18</v>
      </c>
      <c r="N73">
        <v>9</v>
      </c>
      <c r="R73" t="s">
        <v>20</v>
      </c>
      <c r="S73">
        <v>1</v>
      </c>
      <c r="T73">
        <v>309</v>
      </c>
      <c r="U73" t="str">
        <f>_xlfn.IFNA(_xlfn.IFS(E73&gt;Dash!$D$46, "Big", E73&lt;Dash!$D$49, "Small", E73&gt;Dash!$D$47, "Good"), "Norm")</f>
        <v>Big</v>
      </c>
      <c r="V73" t="s">
        <v>33</v>
      </c>
      <c r="W73">
        <v>420.75</v>
      </c>
      <c r="X73" t="s">
        <v>48</v>
      </c>
    </row>
    <row r="74" spans="1:24" x14ac:dyDescent="0.25">
      <c r="A74" s="1">
        <v>45407</v>
      </c>
      <c r="B74" t="s">
        <v>36</v>
      </c>
      <c r="C74" t="s">
        <v>33</v>
      </c>
      <c r="D74" t="s">
        <v>38</v>
      </c>
      <c r="E74">
        <v>296.75</v>
      </c>
      <c r="F74">
        <v>1800</v>
      </c>
      <c r="G74">
        <v>2000</v>
      </c>
      <c r="J74" t="s">
        <v>37</v>
      </c>
      <c r="K74" t="s">
        <v>25</v>
      </c>
      <c r="L74" t="s">
        <v>44</v>
      </c>
      <c r="M74" t="s">
        <v>19</v>
      </c>
      <c r="N74">
        <v>7</v>
      </c>
      <c r="O74" t="s">
        <v>64</v>
      </c>
      <c r="R74" t="s">
        <v>33</v>
      </c>
      <c r="S74" t="s">
        <v>28</v>
      </c>
      <c r="T74">
        <v>233.25</v>
      </c>
      <c r="U74" t="str">
        <f>_xlfn.IFNA(_xlfn.IFS(E74&gt;Dash!$D$46, "Big", E74&lt;Dash!$D$49, "Small", E74&gt;Dash!$D$47, "Good"), "Norm")</f>
        <v>Good</v>
      </c>
      <c r="V74" t="s">
        <v>33</v>
      </c>
      <c r="W74">
        <v>228.25</v>
      </c>
      <c r="X74" t="s">
        <v>43</v>
      </c>
    </row>
    <row r="75" spans="1:24" x14ac:dyDescent="0.25">
      <c r="A75" s="1">
        <v>45414</v>
      </c>
      <c r="B75" t="s">
        <v>36</v>
      </c>
      <c r="C75" t="s">
        <v>33</v>
      </c>
      <c r="D75" t="s">
        <v>46</v>
      </c>
      <c r="E75">
        <v>299.25</v>
      </c>
      <c r="F75">
        <v>1000</v>
      </c>
      <c r="G75">
        <v>1000</v>
      </c>
      <c r="J75" t="s">
        <v>45</v>
      </c>
      <c r="K75" t="s">
        <v>25</v>
      </c>
      <c r="L75" t="s">
        <v>44</v>
      </c>
      <c r="M75" t="s">
        <v>19</v>
      </c>
      <c r="N75">
        <v>14</v>
      </c>
      <c r="O75" t="s">
        <v>70</v>
      </c>
      <c r="R75" t="s">
        <v>41</v>
      </c>
      <c r="S75" t="s">
        <v>28</v>
      </c>
      <c r="T75">
        <v>307</v>
      </c>
      <c r="U75" t="str">
        <f>_xlfn.IFNA(_xlfn.IFS(E75&gt;Dash!$D$46, "Big", E75&lt;Dash!$D$49, "Small", E75&gt;Dash!$D$47, "Good"), "Norm")</f>
        <v>Good</v>
      </c>
      <c r="V75" t="s">
        <v>33</v>
      </c>
      <c r="W75">
        <v>394</v>
      </c>
      <c r="X75" t="s">
        <v>46</v>
      </c>
    </row>
    <row r="76" spans="1:24" x14ac:dyDescent="0.25">
      <c r="A76" s="1">
        <v>45428</v>
      </c>
      <c r="B76" t="s">
        <v>36</v>
      </c>
      <c r="C76" t="s">
        <v>33</v>
      </c>
      <c r="D76" t="s">
        <v>43</v>
      </c>
      <c r="E76">
        <v>117</v>
      </c>
      <c r="F76">
        <v>1800</v>
      </c>
      <c r="G76">
        <v>1800</v>
      </c>
      <c r="J76" t="s">
        <v>29</v>
      </c>
      <c r="K76" t="s">
        <v>35</v>
      </c>
      <c r="L76" t="s">
        <v>42</v>
      </c>
      <c r="M76" t="s">
        <v>19</v>
      </c>
      <c r="N76">
        <v>10</v>
      </c>
      <c r="R76" t="s">
        <v>33</v>
      </c>
      <c r="S76" t="s">
        <v>14</v>
      </c>
      <c r="T76">
        <v>141.75</v>
      </c>
      <c r="U76" t="str">
        <f>_xlfn.IFNA(_xlfn.IFS(E76&gt;Dash!$D$46, "Big", E76&lt;Dash!$D$49, "Small", E76&gt;Dash!$D$47, "Good"), "Norm")</f>
        <v>Small</v>
      </c>
      <c r="V76" t="s">
        <v>20</v>
      </c>
      <c r="W76">
        <v>313.5</v>
      </c>
      <c r="X76" t="s">
        <v>28</v>
      </c>
    </row>
    <row r="77" spans="1:24" x14ac:dyDescent="0.25">
      <c r="A77" s="1">
        <v>45435</v>
      </c>
      <c r="B77" t="s">
        <v>36</v>
      </c>
      <c r="C77" t="s">
        <v>33</v>
      </c>
      <c r="D77" t="s">
        <v>48</v>
      </c>
      <c r="E77">
        <v>401.75</v>
      </c>
      <c r="F77">
        <v>2100</v>
      </c>
      <c r="G77">
        <v>900</v>
      </c>
      <c r="H77">
        <v>1400</v>
      </c>
      <c r="I77">
        <v>1500</v>
      </c>
      <c r="J77" t="s">
        <v>29</v>
      </c>
      <c r="K77" t="s">
        <v>35</v>
      </c>
      <c r="L77" t="s">
        <v>17</v>
      </c>
      <c r="M77" t="s">
        <v>18</v>
      </c>
      <c r="N77">
        <v>5</v>
      </c>
      <c r="R77" t="s">
        <v>13</v>
      </c>
      <c r="S77">
        <v>1</v>
      </c>
      <c r="T77">
        <v>202.5</v>
      </c>
      <c r="U77" t="str">
        <f>_xlfn.IFNA(_xlfn.IFS(E77&gt;Dash!$D$46, "Big", E77&lt;Dash!$D$49, "Small", E77&gt;Dash!$D$47, "Good"), "Norm")</f>
        <v>Good</v>
      </c>
      <c r="V77" t="s">
        <v>33</v>
      </c>
      <c r="W77">
        <v>154.5</v>
      </c>
      <c r="X77" t="s">
        <v>28</v>
      </c>
    </row>
    <row r="78" spans="1:24" x14ac:dyDescent="0.25">
      <c r="A78" s="1">
        <v>45442</v>
      </c>
      <c r="B78" t="s">
        <v>36</v>
      </c>
      <c r="C78" t="s">
        <v>33</v>
      </c>
      <c r="D78" t="s">
        <v>14</v>
      </c>
      <c r="E78">
        <v>240.75</v>
      </c>
      <c r="F78">
        <v>1800</v>
      </c>
      <c r="G78">
        <v>600</v>
      </c>
      <c r="J78" t="s">
        <v>37</v>
      </c>
      <c r="K78" t="s">
        <v>35</v>
      </c>
      <c r="L78" t="s">
        <v>17</v>
      </c>
      <c r="M78" t="s">
        <v>19</v>
      </c>
      <c r="N78">
        <v>5</v>
      </c>
      <c r="R78" t="s">
        <v>33</v>
      </c>
      <c r="S78" t="s">
        <v>46</v>
      </c>
      <c r="T78">
        <v>427</v>
      </c>
      <c r="U78" t="str">
        <f>_xlfn.IFNA(_xlfn.IFS(E78&gt;Dash!$D$46, "Big", E78&lt;Dash!$D$49, "Small", E78&gt;Dash!$D$47, "Good"), "Norm")</f>
        <v>Norm</v>
      </c>
      <c r="V78" t="s">
        <v>13</v>
      </c>
      <c r="W78">
        <v>124.5</v>
      </c>
      <c r="X78" t="s">
        <v>14</v>
      </c>
    </row>
    <row r="79" spans="1:24" x14ac:dyDescent="0.25">
      <c r="A79" s="1">
        <v>45449</v>
      </c>
      <c r="B79" t="s">
        <v>36</v>
      </c>
      <c r="C79" t="s">
        <v>33</v>
      </c>
      <c r="D79" t="s">
        <v>43</v>
      </c>
      <c r="E79">
        <v>107.25</v>
      </c>
      <c r="F79">
        <v>1800</v>
      </c>
      <c r="G79">
        <v>2000</v>
      </c>
      <c r="J79" t="s">
        <v>29</v>
      </c>
      <c r="K79" t="s">
        <v>35</v>
      </c>
      <c r="L79" t="s">
        <v>17</v>
      </c>
      <c r="M79" t="s">
        <v>23</v>
      </c>
      <c r="N79">
        <v>9</v>
      </c>
      <c r="R79" t="s">
        <v>33</v>
      </c>
      <c r="S79" t="s">
        <v>48</v>
      </c>
      <c r="T79">
        <v>215</v>
      </c>
      <c r="U79" t="str">
        <f>_xlfn.IFNA(_xlfn.IFS(E79&gt;Dash!$D$46, "Big", E79&lt;Dash!$D$49, "Small", E79&gt;Dash!$D$47, "Good"), "Norm")</f>
        <v>Small</v>
      </c>
      <c r="V79" t="s">
        <v>13</v>
      </c>
      <c r="W79">
        <v>301.5</v>
      </c>
      <c r="X79" t="s">
        <v>28</v>
      </c>
    </row>
    <row r="80" spans="1:24" x14ac:dyDescent="0.25">
      <c r="A80" s="1">
        <v>45456</v>
      </c>
      <c r="B80" t="s">
        <v>36</v>
      </c>
      <c r="C80" t="s">
        <v>33</v>
      </c>
      <c r="D80" t="s">
        <v>43</v>
      </c>
      <c r="E80">
        <v>191</v>
      </c>
      <c r="F80">
        <v>2000</v>
      </c>
      <c r="G80">
        <v>500</v>
      </c>
      <c r="J80" t="s">
        <v>29</v>
      </c>
      <c r="K80" t="s">
        <v>35</v>
      </c>
      <c r="L80" t="s">
        <v>17</v>
      </c>
      <c r="M80" t="s">
        <v>18</v>
      </c>
      <c r="N80">
        <v>11</v>
      </c>
      <c r="R80" t="s">
        <v>20</v>
      </c>
      <c r="S80" t="s">
        <v>28</v>
      </c>
      <c r="T80">
        <v>159.25</v>
      </c>
      <c r="U80" t="str">
        <f>_xlfn.IFNA(_xlfn.IFS(E80&gt;Dash!$D$46, "Big", E80&lt;Dash!$D$49, "Small", E80&gt;Dash!$D$47, "Good"), "Norm")</f>
        <v>Norm</v>
      </c>
      <c r="V80" t="s">
        <v>13</v>
      </c>
      <c r="W80">
        <v>326</v>
      </c>
      <c r="X80" t="s">
        <v>28</v>
      </c>
    </row>
    <row r="81" spans="1:24" x14ac:dyDescent="0.25">
      <c r="A81" s="1">
        <v>45484</v>
      </c>
      <c r="B81" t="s">
        <v>36</v>
      </c>
      <c r="C81" t="s">
        <v>33</v>
      </c>
      <c r="D81" t="s">
        <v>48</v>
      </c>
      <c r="E81">
        <v>606.5</v>
      </c>
      <c r="F81">
        <v>800</v>
      </c>
      <c r="G81">
        <v>800</v>
      </c>
      <c r="H81">
        <v>1000</v>
      </c>
      <c r="J81" t="s">
        <v>27</v>
      </c>
      <c r="K81" t="s">
        <v>35</v>
      </c>
      <c r="L81" t="s">
        <v>17</v>
      </c>
      <c r="M81" t="s">
        <v>19</v>
      </c>
      <c r="N81">
        <v>9</v>
      </c>
      <c r="R81" t="s">
        <v>33</v>
      </c>
      <c r="S81" t="s">
        <v>46</v>
      </c>
      <c r="T81">
        <v>406</v>
      </c>
      <c r="U81" t="str">
        <f>_xlfn.IFNA(_xlfn.IFS(E81&gt;Dash!$D$46, "Big", E81&lt;Dash!$D$49, "Small", E81&gt;Dash!$D$47, "Good"), "Norm")</f>
        <v>Big</v>
      </c>
      <c r="V81" t="s">
        <v>13</v>
      </c>
      <c r="W81">
        <v>213.75</v>
      </c>
      <c r="X81" t="s">
        <v>28</v>
      </c>
    </row>
    <row r="82" spans="1:24" x14ac:dyDescent="0.25">
      <c r="A82" s="1">
        <v>45498</v>
      </c>
      <c r="B82" t="s">
        <v>36</v>
      </c>
      <c r="C82" t="s">
        <v>33</v>
      </c>
      <c r="D82" t="s">
        <v>14</v>
      </c>
      <c r="E82">
        <v>507.25</v>
      </c>
      <c r="F82">
        <v>200</v>
      </c>
      <c r="G82">
        <v>200</v>
      </c>
      <c r="J82" t="s">
        <v>15</v>
      </c>
      <c r="K82" t="s">
        <v>25</v>
      </c>
      <c r="L82" t="s">
        <v>32</v>
      </c>
      <c r="M82" t="s">
        <v>18</v>
      </c>
      <c r="N82">
        <v>5</v>
      </c>
      <c r="R82" t="s">
        <v>13</v>
      </c>
      <c r="S82">
        <v>1</v>
      </c>
      <c r="T82">
        <v>257.5</v>
      </c>
      <c r="U82" t="str">
        <f>_xlfn.IFNA(_xlfn.IFS(E82&gt;Dash!$D$46, "Big", E82&lt;Dash!$D$49, "Small", E82&gt;Dash!$D$47, "Good"), "Norm")</f>
        <v>Big</v>
      </c>
      <c r="V82" t="s">
        <v>13</v>
      </c>
      <c r="W82">
        <v>536.25</v>
      </c>
      <c r="X82" t="s">
        <v>47</v>
      </c>
    </row>
    <row r="83" spans="1:24" x14ac:dyDescent="0.25">
      <c r="A83" s="1">
        <v>45526</v>
      </c>
      <c r="B83" t="s">
        <v>36</v>
      </c>
      <c r="C83" t="s">
        <v>33</v>
      </c>
      <c r="D83" t="s">
        <v>48</v>
      </c>
      <c r="E83">
        <v>483.25</v>
      </c>
      <c r="F83">
        <v>700</v>
      </c>
      <c r="G83">
        <v>700</v>
      </c>
      <c r="H83">
        <v>1100</v>
      </c>
      <c r="J83" t="s">
        <v>30</v>
      </c>
      <c r="K83" t="s">
        <v>35</v>
      </c>
      <c r="L83" t="s">
        <v>17</v>
      </c>
      <c r="M83" t="s">
        <v>18</v>
      </c>
      <c r="N83">
        <v>6</v>
      </c>
      <c r="R83" t="s">
        <v>33</v>
      </c>
      <c r="S83">
        <v>1</v>
      </c>
      <c r="T83">
        <v>312.5</v>
      </c>
      <c r="U83" t="str">
        <f>_xlfn.IFNA(_xlfn.IFS(E83&gt;Dash!$D$46, "Big", E83&lt;Dash!$D$49, "Small", E83&gt;Dash!$D$47, "Good"), "Norm")</f>
        <v>Big</v>
      </c>
      <c r="V83" t="s">
        <v>33</v>
      </c>
      <c r="W83">
        <v>210.25</v>
      </c>
      <c r="X83" t="s">
        <v>28</v>
      </c>
    </row>
    <row r="84" spans="1:24" x14ac:dyDescent="0.25">
      <c r="A84" s="1">
        <v>45540</v>
      </c>
      <c r="B84" t="s">
        <v>36</v>
      </c>
      <c r="C84" t="s">
        <v>33</v>
      </c>
      <c r="D84" t="s">
        <v>43</v>
      </c>
      <c r="E84">
        <v>323.25</v>
      </c>
      <c r="F84">
        <v>1000</v>
      </c>
      <c r="G84">
        <v>1000</v>
      </c>
      <c r="J84" t="s">
        <v>27</v>
      </c>
      <c r="K84" t="s">
        <v>25</v>
      </c>
      <c r="L84" t="s">
        <v>35</v>
      </c>
      <c r="M84" t="s">
        <v>19</v>
      </c>
      <c r="N84">
        <v>9</v>
      </c>
      <c r="R84" t="s">
        <v>33</v>
      </c>
      <c r="S84" t="s">
        <v>14</v>
      </c>
      <c r="T84">
        <v>542</v>
      </c>
      <c r="U84" t="str">
        <f>_xlfn.IFNA(_xlfn.IFS(E84&gt;Dash!$D$46, "Big", E84&lt;Dash!$D$49, "Small", E84&gt;Dash!$D$47, "Good"), "Norm")</f>
        <v>Good</v>
      </c>
      <c r="V84" t="s">
        <v>24</v>
      </c>
      <c r="W84">
        <v>276.5</v>
      </c>
      <c r="X84" t="s">
        <v>46</v>
      </c>
    </row>
    <row r="85" spans="1:24" x14ac:dyDescent="0.25">
      <c r="A85" s="1">
        <v>45547</v>
      </c>
      <c r="B85" t="s">
        <v>36</v>
      </c>
      <c r="C85" t="s">
        <v>33</v>
      </c>
      <c r="D85" t="s">
        <v>28</v>
      </c>
      <c r="E85">
        <v>298.5</v>
      </c>
      <c r="F85">
        <v>2100</v>
      </c>
      <c r="G85">
        <v>2100</v>
      </c>
      <c r="J85" t="s">
        <v>29</v>
      </c>
      <c r="K85" t="s">
        <v>25</v>
      </c>
      <c r="L85" t="s">
        <v>35</v>
      </c>
      <c r="M85" t="s">
        <v>18</v>
      </c>
      <c r="N85">
        <v>6</v>
      </c>
      <c r="R85" t="s">
        <v>33</v>
      </c>
      <c r="S85" t="s">
        <v>28</v>
      </c>
      <c r="T85">
        <v>179</v>
      </c>
      <c r="U85" t="str">
        <f>_xlfn.IFNA(_xlfn.IFS(E85&gt;Dash!$D$46, "Big", E85&lt;Dash!$D$49, "Small", E85&gt;Dash!$D$47, "Good"), "Norm")</f>
        <v>Good</v>
      </c>
      <c r="V85" t="s">
        <v>33</v>
      </c>
      <c r="W85">
        <v>746.5</v>
      </c>
      <c r="X85" t="s">
        <v>52</v>
      </c>
    </row>
    <row r="86" spans="1:24" x14ac:dyDescent="0.25">
      <c r="A86" s="1">
        <v>45561</v>
      </c>
      <c r="B86" t="s">
        <v>36</v>
      </c>
      <c r="C86" t="s">
        <v>33</v>
      </c>
      <c r="D86" t="s">
        <v>28</v>
      </c>
      <c r="E86">
        <v>350</v>
      </c>
      <c r="F86">
        <v>1900</v>
      </c>
      <c r="G86">
        <v>1000</v>
      </c>
      <c r="J86" t="s">
        <v>29</v>
      </c>
      <c r="K86" t="s">
        <v>35</v>
      </c>
      <c r="L86" t="s">
        <v>25</v>
      </c>
      <c r="M86" t="s">
        <v>23</v>
      </c>
      <c r="N86">
        <v>7</v>
      </c>
      <c r="R86" t="s">
        <v>33</v>
      </c>
      <c r="S86" t="s">
        <v>14</v>
      </c>
      <c r="T86">
        <v>222.75</v>
      </c>
      <c r="U86" t="str">
        <f>_xlfn.IFNA(_xlfn.IFS(E86&gt;Dash!$D$46, "Big", E86&lt;Dash!$D$49, "Small", E86&gt;Dash!$D$47, "Good"), "Norm")</f>
        <v>Good</v>
      </c>
      <c r="V86" t="s">
        <v>41</v>
      </c>
      <c r="W86">
        <v>146</v>
      </c>
      <c r="X86" t="s">
        <v>43</v>
      </c>
    </row>
    <row r="87" spans="1:24" x14ac:dyDescent="0.25">
      <c r="A87" s="1">
        <v>45575</v>
      </c>
      <c r="B87" t="s">
        <v>36</v>
      </c>
      <c r="C87" t="s">
        <v>33</v>
      </c>
      <c r="D87" t="s">
        <v>43</v>
      </c>
      <c r="E87">
        <v>206.75</v>
      </c>
      <c r="F87">
        <v>1200</v>
      </c>
      <c r="G87">
        <v>1200</v>
      </c>
      <c r="J87" t="s">
        <v>27</v>
      </c>
      <c r="K87" t="s">
        <v>25</v>
      </c>
      <c r="L87" t="s">
        <v>35</v>
      </c>
      <c r="M87" t="s">
        <v>18</v>
      </c>
      <c r="N87">
        <v>7</v>
      </c>
      <c r="R87" t="s">
        <v>33</v>
      </c>
      <c r="S87">
        <v>1</v>
      </c>
      <c r="T87">
        <v>179.5</v>
      </c>
      <c r="U87" t="str">
        <f>_xlfn.IFNA(_xlfn.IFS(E87&gt;Dash!$D$46, "Big", E87&lt;Dash!$D$49, "Small", E87&gt;Dash!$D$47, "Good"), "Norm")</f>
        <v>Norm</v>
      </c>
      <c r="V87" t="s">
        <v>20</v>
      </c>
      <c r="W87">
        <v>244.25</v>
      </c>
      <c r="X87" t="s">
        <v>28</v>
      </c>
    </row>
    <row r="88" spans="1:24" x14ac:dyDescent="0.25">
      <c r="A88" s="1">
        <v>45589</v>
      </c>
      <c r="B88" t="s">
        <v>36</v>
      </c>
      <c r="C88" t="s">
        <v>33</v>
      </c>
      <c r="D88">
        <v>1</v>
      </c>
      <c r="E88">
        <v>166.75</v>
      </c>
      <c r="J88" t="s">
        <v>34</v>
      </c>
      <c r="K88" t="s">
        <v>35</v>
      </c>
      <c r="L88" t="s">
        <v>25</v>
      </c>
      <c r="M88" t="s">
        <v>36</v>
      </c>
      <c r="N88">
        <v>3</v>
      </c>
      <c r="R88" t="s">
        <v>24</v>
      </c>
      <c r="S88" t="s">
        <v>28</v>
      </c>
      <c r="T88">
        <v>264.25</v>
      </c>
      <c r="U88" t="str">
        <f>_xlfn.IFNA(_xlfn.IFS(E88&gt;Dash!$D$46, "Big", E88&lt;Dash!$D$49, "Small", E88&gt;Dash!$D$47, "Good"), "Norm")</f>
        <v>Norm</v>
      </c>
      <c r="V88" t="s">
        <v>20</v>
      </c>
      <c r="W88">
        <v>415.5</v>
      </c>
      <c r="X88" t="s">
        <v>14</v>
      </c>
    </row>
    <row r="89" spans="1:24" x14ac:dyDescent="0.25">
      <c r="A89" s="1">
        <v>45617</v>
      </c>
      <c r="B89" t="s">
        <v>36</v>
      </c>
      <c r="C89" t="s">
        <v>33</v>
      </c>
      <c r="D89" t="s">
        <v>28</v>
      </c>
      <c r="E89">
        <v>391.5</v>
      </c>
      <c r="F89">
        <v>800</v>
      </c>
      <c r="G89">
        <v>900</v>
      </c>
      <c r="J89" t="s">
        <v>27</v>
      </c>
      <c r="K89" t="s">
        <v>35</v>
      </c>
      <c r="L89" t="s">
        <v>25</v>
      </c>
      <c r="M89" t="s">
        <v>36</v>
      </c>
      <c r="N89">
        <v>3</v>
      </c>
      <c r="R89" t="s">
        <v>20</v>
      </c>
      <c r="S89">
        <v>1</v>
      </c>
      <c r="T89">
        <v>157.75</v>
      </c>
      <c r="U89" t="str">
        <f>_xlfn.IFNA(_xlfn.IFS(E89&gt;Dash!$D$46, "Big", E89&lt;Dash!$D$49, "Small", E89&gt;Dash!$D$47, "Good"), "Norm")</f>
        <v>Good</v>
      </c>
      <c r="V89" t="s">
        <v>41</v>
      </c>
      <c r="W89">
        <v>353</v>
      </c>
      <c r="X89" t="s">
        <v>43</v>
      </c>
    </row>
    <row r="90" spans="1:24" x14ac:dyDescent="0.25">
      <c r="A90" s="1">
        <v>45631</v>
      </c>
      <c r="B90" t="s">
        <v>36</v>
      </c>
      <c r="C90" t="s">
        <v>33</v>
      </c>
      <c r="D90" t="s">
        <v>43</v>
      </c>
      <c r="E90">
        <v>108.25</v>
      </c>
      <c r="F90">
        <v>900</v>
      </c>
      <c r="G90">
        <v>900</v>
      </c>
      <c r="J90" t="s">
        <v>27</v>
      </c>
      <c r="K90" t="s">
        <v>32</v>
      </c>
      <c r="L90" t="s">
        <v>42</v>
      </c>
      <c r="M90" t="s">
        <v>23</v>
      </c>
      <c r="N90">
        <v>9</v>
      </c>
      <c r="R90" t="s">
        <v>13</v>
      </c>
      <c r="S90" t="s">
        <v>38</v>
      </c>
      <c r="T90">
        <v>229</v>
      </c>
      <c r="U90" t="str">
        <f>_xlfn.IFNA(_xlfn.IFS(E90&gt;Dash!$D$46, "Big", E90&lt;Dash!$D$49, "Small", E90&gt;Dash!$D$47, "Good"), "Norm")</f>
        <v>Small</v>
      </c>
      <c r="V90" t="s">
        <v>13</v>
      </c>
      <c r="W90">
        <v>160.25</v>
      </c>
      <c r="X90" t="s">
        <v>28</v>
      </c>
    </row>
    <row r="91" spans="1:24" x14ac:dyDescent="0.25">
      <c r="A91" s="1">
        <v>45645</v>
      </c>
      <c r="B91" t="s">
        <v>36</v>
      </c>
      <c r="C91" t="s">
        <v>33</v>
      </c>
      <c r="D91">
        <v>1</v>
      </c>
      <c r="E91">
        <v>334.75</v>
      </c>
      <c r="J91" t="s">
        <v>34</v>
      </c>
      <c r="K91" t="s">
        <v>35</v>
      </c>
      <c r="L91" t="s">
        <v>17</v>
      </c>
      <c r="M91" t="s">
        <v>23</v>
      </c>
      <c r="N91">
        <v>11</v>
      </c>
      <c r="R91" t="s">
        <v>20</v>
      </c>
      <c r="S91" t="s">
        <v>38</v>
      </c>
      <c r="T91">
        <v>741.75</v>
      </c>
      <c r="U91" t="str">
        <f>_xlfn.IFNA(_xlfn.IFS(E91&gt;Dash!$D$46, "Big", E91&lt;Dash!$D$49, "Small", E91&gt;Dash!$D$47, "Good"), "Norm")</f>
        <v>Good</v>
      </c>
      <c r="V91" t="s">
        <v>20</v>
      </c>
      <c r="W91">
        <v>948.75</v>
      </c>
      <c r="X91" t="s">
        <v>14</v>
      </c>
    </row>
    <row r="92" spans="1:24" x14ac:dyDescent="0.25">
      <c r="A92" s="1">
        <v>45188</v>
      </c>
      <c r="B92" t="s">
        <v>19</v>
      </c>
      <c r="C92" t="s">
        <v>33</v>
      </c>
      <c r="D92" t="s">
        <v>14</v>
      </c>
      <c r="E92">
        <v>179.5</v>
      </c>
      <c r="F92">
        <v>900</v>
      </c>
      <c r="G92">
        <v>1300</v>
      </c>
      <c r="J92" t="s">
        <v>45</v>
      </c>
      <c r="K92" t="s">
        <v>35</v>
      </c>
      <c r="L92" t="s">
        <v>25</v>
      </c>
      <c r="M92" t="s">
        <v>18</v>
      </c>
      <c r="N92">
        <v>7</v>
      </c>
      <c r="P92">
        <v>1400</v>
      </c>
      <c r="Q92">
        <v>1500</v>
      </c>
      <c r="R92" t="s">
        <v>33</v>
      </c>
      <c r="S92" t="s">
        <v>14</v>
      </c>
      <c r="T92">
        <v>288.75</v>
      </c>
      <c r="U92" t="str">
        <f>_xlfn.IFNA(_xlfn.IFS(E92&gt;Dash!$D$46, "Big", E92&lt;Dash!$D$49, "Small", E92&gt;Dash!$D$47, "Good"), "Norm")</f>
        <v>Norm</v>
      </c>
      <c r="V92" t="s">
        <v>20</v>
      </c>
      <c r="W92">
        <v>124</v>
      </c>
      <c r="X92" t="s">
        <v>46</v>
      </c>
    </row>
    <row r="93" spans="1:24" x14ac:dyDescent="0.25">
      <c r="A93" s="1">
        <v>45216</v>
      </c>
      <c r="B93" t="s">
        <v>19</v>
      </c>
      <c r="C93" t="s">
        <v>33</v>
      </c>
      <c r="D93" t="s">
        <v>14</v>
      </c>
      <c r="E93">
        <v>259</v>
      </c>
      <c r="F93">
        <v>900</v>
      </c>
      <c r="G93">
        <v>1000</v>
      </c>
      <c r="J93" t="s">
        <v>45</v>
      </c>
      <c r="K93" t="s">
        <v>25</v>
      </c>
      <c r="L93" t="s">
        <v>32</v>
      </c>
      <c r="M93" t="s">
        <v>23</v>
      </c>
      <c r="N93">
        <v>5</v>
      </c>
      <c r="P93">
        <v>1200</v>
      </c>
      <c r="Q93">
        <v>1500</v>
      </c>
      <c r="R93" t="s">
        <v>13</v>
      </c>
      <c r="S93" t="s">
        <v>14</v>
      </c>
      <c r="T93">
        <v>244.5</v>
      </c>
      <c r="U93" t="str">
        <f>_xlfn.IFNA(_xlfn.IFS(E93&gt;Dash!$D$46, "Big", E93&lt;Dash!$D$49, "Small", E93&gt;Dash!$D$47, "Good"), "Norm")</f>
        <v>Good</v>
      </c>
      <c r="V93" t="s">
        <v>20</v>
      </c>
      <c r="W93">
        <v>211.75</v>
      </c>
      <c r="X93">
        <v>1</v>
      </c>
    </row>
    <row r="94" spans="1:24" x14ac:dyDescent="0.25">
      <c r="A94" s="1">
        <v>45223</v>
      </c>
      <c r="B94" t="s">
        <v>19</v>
      </c>
      <c r="C94" t="s">
        <v>33</v>
      </c>
      <c r="D94" t="s">
        <v>28</v>
      </c>
      <c r="E94">
        <v>172</v>
      </c>
      <c r="F94">
        <v>1000</v>
      </c>
      <c r="G94">
        <v>1000</v>
      </c>
      <c r="J94" t="s">
        <v>27</v>
      </c>
      <c r="K94" t="s">
        <v>35</v>
      </c>
      <c r="L94" t="s">
        <v>17</v>
      </c>
      <c r="M94" t="s">
        <v>23</v>
      </c>
      <c r="N94">
        <v>7</v>
      </c>
      <c r="O94" t="s">
        <v>64</v>
      </c>
      <c r="P94">
        <v>1200</v>
      </c>
      <c r="Q94">
        <v>1600</v>
      </c>
      <c r="R94" t="s">
        <v>13</v>
      </c>
      <c r="S94" t="s">
        <v>14</v>
      </c>
      <c r="T94">
        <v>339</v>
      </c>
      <c r="U94" t="str">
        <f>_xlfn.IFNA(_xlfn.IFS(E94&gt;Dash!$D$46, "Big", E94&lt;Dash!$D$49, "Small", E94&gt;Dash!$D$47, "Good"), "Norm")</f>
        <v>Norm</v>
      </c>
      <c r="V94" t="s">
        <v>33</v>
      </c>
      <c r="W94">
        <v>339.5</v>
      </c>
      <c r="X94" t="s">
        <v>46</v>
      </c>
    </row>
    <row r="95" spans="1:24" x14ac:dyDescent="0.25">
      <c r="A95" s="1">
        <v>45230</v>
      </c>
      <c r="B95" t="s">
        <v>19</v>
      </c>
      <c r="C95" t="s">
        <v>33</v>
      </c>
      <c r="D95" t="s">
        <v>28</v>
      </c>
      <c r="E95">
        <v>192.5</v>
      </c>
      <c r="F95">
        <v>1300</v>
      </c>
      <c r="G95">
        <v>1600</v>
      </c>
      <c r="J95" t="s">
        <v>49</v>
      </c>
      <c r="K95" t="s">
        <v>25</v>
      </c>
      <c r="L95" t="s">
        <v>32</v>
      </c>
      <c r="M95" t="s">
        <v>19</v>
      </c>
      <c r="N95">
        <v>13</v>
      </c>
      <c r="P95">
        <v>900</v>
      </c>
      <c r="Q95">
        <v>1500</v>
      </c>
      <c r="R95" t="s">
        <v>20</v>
      </c>
      <c r="S95" t="s">
        <v>28</v>
      </c>
      <c r="T95">
        <v>344.75</v>
      </c>
      <c r="U95" t="str">
        <f>_xlfn.IFNA(_xlfn.IFS(E95&gt;Dash!$D$46, "Big", E95&lt;Dash!$D$49, "Small", E95&gt;Dash!$D$47, "Good"), "Norm")</f>
        <v>Norm</v>
      </c>
      <c r="V95" t="s">
        <v>24</v>
      </c>
      <c r="W95">
        <v>170.25</v>
      </c>
      <c r="X95" t="s">
        <v>28</v>
      </c>
    </row>
    <row r="96" spans="1:24" x14ac:dyDescent="0.25">
      <c r="A96" s="1">
        <v>45258</v>
      </c>
      <c r="B96" t="s">
        <v>19</v>
      </c>
      <c r="C96" t="s">
        <v>33</v>
      </c>
      <c r="D96">
        <v>1</v>
      </c>
      <c r="E96">
        <v>126</v>
      </c>
      <c r="J96" t="s">
        <v>34</v>
      </c>
      <c r="K96" t="s">
        <v>25</v>
      </c>
      <c r="L96" t="s">
        <v>35</v>
      </c>
      <c r="M96" t="s">
        <v>19</v>
      </c>
      <c r="N96">
        <v>8</v>
      </c>
      <c r="P96">
        <v>1300</v>
      </c>
      <c r="Q96">
        <v>1600</v>
      </c>
      <c r="R96" t="s">
        <v>33</v>
      </c>
      <c r="S96" t="s">
        <v>43</v>
      </c>
      <c r="T96">
        <v>195</v>
      </c>
      <c r="U96" t="str">
        <f>_xlfn.IFNA(_xlfn.IFS(E96&gt;Dash!$D$46, "Big", E96&lt;Dash!$D$49, "Small", E96&gt;Dash!$D$47, "Good"), "Norm")</f>
        <v>Small</v>
      </c>
      <c r="V96" t="s">
        <v>13</v>
      </c>
      <c r="W96">
        <v>119</v>
      </c>
      <c r="X96" t="s">
        <v>52</v>
      </c>
    </row>
    <row r="97" spans="1:24" x14ac:dyDescent="0.25">
      <c r="A97" s="1">
        <v>45300</v>
      </c>
      <c r="B97" t="s">
        <v>19</v>
      </c>
      <c r="C97" t="s">
        <v>33</v>
      </c>
      <c r="D97" t="s">
        <v>28</v>
      </c>
      <c r="E97">
        <v>210.75</v>
      </c>
      <c r="F97">
        <v>1100</v>
      </c>
      <c r="J97" t="s">
        <v>27</v>
      </c>
      <c r="K97" t="s">
        <v>25</v>
      </c>
      <c r="L97" t="s">
        <v>32</v>
      </c>
      <c r="M97" t="s">
        <v>36</v>
      </c>
      <c r="N97">
        <v>6</v>
      </c>
      <c r="R97" t="s">
        <v>33</v>
      </c>
      <c r="S97" t="s">
        <v>28</v>
      </c>
      <c r="T97">
        <v>181.5</v>
      </c>
      <c r="U97" t="str">
        <f>_xlfn.IFNA(_xlfn.IFS(E97&gt;Dash!$D$46, "Big", E97&lt;Dash!$D$49, "Small", E97&gt;Dash!$D$47, "Good"), "Norm")</f>
        <v>Norm</v>
      </c>
      <c r="V97" t="s">
        <v>20</v>
      </c>
      <c r="W97">
        <v>341.75</v>
      </c>
      <c r="X97" t="s">
        <v>28</v>
      </c>
    </row>
    <row r="98" spans="1:24" x14ac:dyDescent="0.25">
      <c r="A98" s="1">
        <v>45314</v>
      </c>
      <c r="B98" t="s">
        <v>19</v>
      </c>
      <c r="C98" t="s">
        <v>33</v>
      </c>
      <c r="D98" t="s">
        <v>46</v>
      </c>
      <c r="E98">
        <v>129.5</v>
      </c>
      <c r="F98">
        <v>300</v>
      </c>
      <c r="G98">
        <v>400</v>
      </c>
      <c r="J98" t="s">
        <v>15</v>
      </c>
      <c r="K98" t="s">
        <v>25</v>
      </c>
      <c r="L98" t="s">
        <v>44</v>
      </c>
      <c r="M98" t="s">
        <v>18</v>
      </c>
      <c r="N98">
        <v>5</v>
      </c>
      <c r="O98" t="s">
        <v>62</v>
      </c>
      <c r="R98" t="s">
        <v>13</v>
      </c>
      <c r="S98" t="s">
        <v>28</v>
      </c>
      <c r="T98">
        <v>189.5</v>
      </c>
      <c r="U98" t="str">
        <f>_xlfn.IFNA(_xlfn.IFS(E98&gt;Dash!$D$46, "Big", E98&lt;Dash!$D$49, "Small", E98&gt;Dash!$D$47, "Good"), "Norm")</f>
        <v>Small</v>
      </c>
      <c r="V98" t="s">
        <v>33</v>
      </c>
      <c r="W98">
        <v>151</v>
      </c>
      <c r="X98" t="s">
        <v>43</v>
      </c>
    </row>
    <row r="99" spans="1:24" x14ac:dyDescent="0.25">
      <c r="A99" s="1">
        <v>45363</v>
      </c>
      <c r="B99" t="s">
        <v>19</v>
      </c>
      <c r="C99" t="s">
        <v>33</v>
      </c>
      <c r="D99" t="s">
        <v>28</v>
      </c>
      <c r="E99">
        <v>317</v>
      </c>
      <c r="F99">
        <v>2000</v>
      </c>
      <c r="G99">
        <v>2000</v>
      </c>
      <c r="J99" t="s">
        <v>29</v>
      </c>
      <c r="K99" t="s">
        <v>25</v>
      </c>
      <c r="L99" t="s">
        <v>32</v>
      </c>
      <c r="M99" t="s">
        <v>19</v>
      </c>
      <c r="N99">
        <v>12</v>
      </c>
      <c r="R99" t="s">
        <v>41</v>
      </c>
      <c r="S99" t="s">
        <v>43</v>
      </c>
      <c r="T99">
        <v>185.5</v>
      </c>
      <c r="U99" t="str">
        <f>_xlfn.IFNA(_xlfn.IFS(E99&gt;Dash!$D$46, "Big", E99&lt;Dash!$D$49, "Small", E99&gt;Dash!$D$47, "Good"), "Norm")</f>
        <v>Good</v>
      </c>
      <c r="V99" t="s">
        <v>41</v>
      </c>
      <c r="W99">
        <v>133.25</v>
      </c>
      <c r="X99">
        <v>1</v>
      </c>
    </row>
    <row r="100" spans="1:24" x14ac:dyDescent="0.25">
      <c r="A100" s="1">
        <v>45370</v>
      </c>
      <c r="B100" t="s">
        <v>19</v>
      </c>
      <c r="C100" t="s">
        <v>33</v>
      </c>
      <c r="D100" t="s">
        <v>46</v>
      </c>
      <c r="E100">
        <v>236</v>
      </c>
      <c r="F100">
        <v>900</v>
      </c>
      <c r="G100">
        <v>900</v>
      </c>
      <c r="J100" t="s">
        <v>45</v>
      </c>
      <c r="K100" t="s">
        <v>25</v>
      </c>
      <c r="L100" t="s">
        <v>32</v>
      </c>
      <c r="M100" t="s">
        <v>18</v>
      </c>
      <c r="N100">
        <v>8</v>
      </c>
      <c r="R100" t="s">
        <v>13</v>
      </c>
      <c r="S100" t="s">
        <v>14</v>
      </c>
      <c r="T100">
        <v>253</v>
      </c>
      <c r="U100" t="str">
        <f>_xlfn.IFNA(_xlfn.IFS(E100&gt;Dash!$D$46, "Big", E100&lt;Dash!$D$49, "Small", E100&gt;Dash!$D$47, "Good"), "Norm")</f>
        <v>Norm</v>
      </c>
      <c r="V100" t="s">
        <v>24</v>
      </c>
      <c r="W100">
        <v>162</v>
      </c>
      <c r="X100" t="s">
        <v>43</v>
      </c>
    </row>
    <row r="101" spans="1:24" x14ac:dyDescent="0.25">
      <c r="A101" s="1">
        <v>45391</v>
      </c>
      <c r="B101" t="s">
        <v>19</v>
      </c>
      <c r="C101" t="s">
        <v>33</v>
      </c>
      <c r="D101" t="s">
        <v>53</v>
      </c>
      <c r="E101">
        <v>244.25</v>
      </c>
      <c r="F101">
        <v>900</v>
      </c>
      <c r="G101">
        <v>900</v>
      </c>
      <c r="H101">
        <v>1000</v>
      </c>
      <c r="I101">
        <v>1100</v>
      </c>
      <c r="J101" t="s">
        <v>27</v>
      </c>
      <c r="K101" t="s">
        <v>35</v>
      </c>
      <c r="L101" t="s">
        <v>25</v>
      </c>
      <c r="M101" t="s">
        <v>18</v>
      </c>
      <c r="N101">
        <v>9</v>
      </c>
      <c r="R101" t="s">
        <v>33</v>
      </c>
      <c r="S101" t="s">
        <v>48</v>
      </c>
      <c r="T101">
        <v>420.75</v>
      </c>
      <c r="U101" t="str">
        <f>_xlfn.IFNA(_xlfn.IFS(E101&gt;Dash!$D$46, "Big", E101&lt;Dash!$D$49, "Small", E101&gt;Dash!$D$47, "Good"), "Norm")</f>
        <v>Norm</v>
      </c>
      <c r="V101" t="s">
        <v>33</v>
      </c>
      <c r="W101">
        <v>138.5</v>
      </c>
      <c r="X101">
        <v>1</v>
      </c>
    </row>
    <row r="102" spans="1:24" x14ac:dyDescent="0.25">
      <c r="A102" s="1">
        <v>45426</v>
      </c>
      <c r="B102" t="s">
        <v>19</v>
      </c>
      <c r="C102" t="s">
        <v>33</v>
      </c>
      <c r="D102" t="s">
        <v>53</v>
      </c>
      <c r="E102">
        <v>267.5</v>
      </c>
      <c r="F102">
        <v>800</v>
      </c>
      <c r="G102">
        <v>800</v>
      </c>
      <c r="H102">
        <v>1000</v>
      </c>
      <c r="I102">
        <v>1100</v>
      </c>
      <c r="J102" t="s">
        <v>45</v>
      </c>
      <c r="K102" t="s">
        <v>25</v>
      </c>
      <c r="L102" t="s">
        <v>32</v>
      </c>
      <c r="M102" t="s">
        <v>19</v>
      </c>
      <c r="N102">
        <v>10</v>
      </c>
      <c r="R102" t="s">
        <v>20</v>
      </c>
      <c r="S102" t="s">
        <v>28</v>
      </c>
      <c r="T102">
        <v>313.5</v>
      </c>
      <c r="U102" t="str">
        <f>_xlfn.IFNA(_xlfn.IFS(E102&gt;Dash!$D$46, "Big", E102&lt;Dash!$D$49, "Small", E102&gt;Dash!$D$47, "Good"), "Norm")</f>
        <v>Good</v>
      </c>
      <c r="V102" t="s">
        <v>24</v>
      </c>
      <c r="W102">
        <v>101.25</v>
      </c>
      <c r="X102">
        <v>1</v>
      </c>
    </row>
    <row r="103" spans="1:24" x14ac:dyDescent="0.25">
      <c r="A103" s="1">
        <v>45433</v>
      </c>
      <c r="B103" t="s">
        <v>19</v>
      </c>
      <c r="C103" t="s">
        <v>33</v>
      </c>
      <c r="D103" t="s">
        <v>28</v>
      </c>
      <c r="E103">
        <v>130.75</v>
      </c>
      <c r="F103">
        <v>1500</v>
      </c>
      <c r="J103" t="s">
        <v>49</v>
      </c>
      <c r="K103" t="s">
        <v>25</v>
      </c>
      <c r="L103" t="s">
        <v>32</v>
      </c>
      <c r="M103" t="s">
        <v>18</v>
      </c>
      <c r="N103">
        <v>5</v>
      </c>
      <c r="R103" t="s">
        <v>33</v>
      </c>
      <c r="S103" t="s">
        <v>28</v>
      </c>
      <c r="T103">
        <v>154.5</v>
      </c>
      <c r="U103" t="str">
        <f>_xlfn.IFNA(_xlfn.IFS(E103&gt;Dash!$D$46, "Big", E103&lt;Dash!$D$49, "Small", E103&gt;Dash!$D$47, "Good"), "Norm")</f>
        <v>Small</v>
      </c>
      <c r="V103" t="s">
        <v>33</v>
      </c>
      <c r="W103">
        <v>159.25</v>
      </c>
      <c r="X103" t="s">
        <v>28</v>
      </c>
    </row>
    <row r="104" spans="1:24" x14ac:dyDescent="0.25">
      <c r="A104" s="1">
        <v>45454</v>
      </c>
      <c r="B104" t="s">
        <v>19</v>
      </c>
      <c r="C104" t="s">
        <v>33</v>
      </c>
      <c r="D104" t="s">
        <v>28</v>
      </c>
      <c r="E104">
        <v>253</v>
      </c>
      <c r="F104">
        <v>900</v>
      </c>
      <c r="G104">
        <v>1000</v>
      </c>
      <c r="J104" t="s">
        <v>27</v>
      </c>
      <c r="K104" t="s">
        <v>25</v>
      </c>
      <c r="L104" t="s">
        <v>44</v>
      </c>
      <c r="M104" t="s">
        <v>18</v>
      </c>
      <c r="N104">
        <v>11</v>
      </c>
      <c r="R104" t="s">
        <v>13</v>
      </c>
      <c r="S104" t="s">
        <v>28</v>
      </c>
      <c r="T104">
        <v>326</v>
      </c>
      <c r="U104" t="str">
        <f>_xlfn.IFNA(_xlfn.IFS(E104&gt;Dash!$D$46, "Big", E104&lt;Dash!$D$49, "Small", E104&gt;Dash!$D$47, "Good"), "Norm")</f>
        <v>Good</v>
      </c>
      <c r="V104" t="s">
        <v>20</v>
      </c>
      <c r="W104">
        <v>152</v>
      </c>
      <c r="X104">
        <v>1</v>
      </c>
    </row>
    <row r="105" spans="1:24" x14ac:dyDescent="0.25">
      <c r="A105" s="1">
        <v>45461</v>
      </c>
      <c r="B105" t="s">
        <v>19</v>
      </c>
      <c r="C105" t="s">
        <v>33</v>
      </c>
      <c r="D105">
        <v>1</v>
      </c>
      <c r="E105">
        <v>143.5</v>
      </c>
      <c r="J105" t="s">
        <v>34</v>
      </c>
      <c r="K105" t="s">
        <v>35</v>
      </c>
      <c r="L105" t="s">
        <v>25</v>
      </c>
      <c r="M105" t="s">
        <v>19</v>
      </c>
      <c r="N105">
        <v>7</v>
      </c>
      <c r="R105" t="s">
        <v>20</v>
      </c>
      <c r="S105" t="s">
        <v>48</v>
      </c>
      <c r="T105">
        <v>347.5</v>
      </c>
      <c r="U105" t="str">
        <f>_xlfn.IFNA(_xlfn.IFS(E105&gt;Dash!$D$46, "Big", E105&lt;Dash!$D$49, "Small", E105&gt;Dash!$D$47, "Good"), "Norm")</f>
        <v>Small</v>
      </c>
      <c r="V105" t="s">
        <v>33</v>
      </c>
      <c r="W105">
        <v>367.25</v>
      </c>
      <c r="X105" t="s">
        <v>40</v>
      </c>
    </row>
    <row r="106" spans="1:24" x14ac:dyDescent="0.25">
      <c r="A106" s="1">
        <v>45482</v>
      </c>
      <c r="B106" t="s">
        <v>19</v>
      </c>
      <c r="C106" t="s">
        <v>33</v>
      </c>
      <c r="D106" t="s">
        <v>43</v>
      </c>
      <c r="E106">
        <v>156</v>
      </c>
      <c r="F106">
        <v>1800</v>
      </c>
      <c r="G106">
        <v>1800</v>
      </c>
      <c r="J106" t="s">
        <v>29</v>
      </c>
      <c r="K106" t="s">
        <v>35</v>
      </c>
      <c r="L106" t="s">
        <v>17</v>
      </c>
      <c r="M106" t="s">
        <v>19</v>
      </c>
      <c r="N106">
        <v>9</v>
      </c>
      <c r="R106" t="s">
        <v>13</v>
      </c>
      <c r="S106" t="s">
        <v>28</v>
      </c>
      <c r="T106">
        <v>213.75</v>
      </c>
      <c r="U106" t="str">
        <f>_xlfn.IFNA(_xlfn.IFS(E106&gt;Dash!$D$46, "Big", E106&lt;Dash!$D$49, "Small", E106&gt;Dash!$D$47, "Good"), "Norm")</f>
        <v>Small</v>
      </c>
      <c r="V106" t="s">
        <v>13</v>
      </c>
      <c r="W106">
        <v>100</v>
      </c>
      <c r="X106" t="s">
        <v>28</v>
      </c>
    </row>
    <row r="107" spans="1:24" x14ac:dyDescent="0.25">
      <c r="A107" s="1">
        <v>45489</v>
      </c>
      <c r="B107" t="s">
        <v>19</v>
      </c>
      <c r="C107" t="s">
        <v>33</v>
      </c>
      <c r="D107" t="s">
        <v>46</v>
      </c>
      <c r="E107">
        <v>220</v>
      </c>
      <c r="F107">
        <v>1000</v>
      </c>
      <c r="G107">
        <v>1000</v>
      </c>
      <c r="J107" t="s">
        <v>45</v>
      </c>
      <c r="K107" t="s">
        <v>35</v>
      </c>
      <c r="L107" t="s">
        <v>17</v>
      </c>
      <c r="M107" t="s">
        <v>23</v>
      </c>
      <c r="N107">
        <v>5</v>
      </c>
      <c r="R107" t="s">
        <v>13</v>
      </c>
      <c r="S107" t="s">
        <v>14</v>
      </c>
      <c r="T107">
        <v>332.5</v>
      </c>
      <c r="U107" t="str">
        <f>_xlfn.IFNA(_xlfn.IFS(E107&gt;Dash!$D$46, "Big", E107&lt;Dash!$D$49, "Small", E107&gt;Dash!$D$47, "Good"), "Norm")</f>
        <v>Norm</v>
      </c>
      <c r="V107" t="s">
        <v>33</v>
      </c>
      <c r="W107">
        <v>290.75</v>
      </c>
      <c r="X107" t="s">
        <v>43</v>
      </c>
    </row>
    <row r="108" spans="1:24" x14ac:dyDescent="0.25">
      <c r="A108" s="1">
        <v>45503</v>
      </c>
      <c r="B108" t="s">
        <v>19</v>
      </c>
      <c r="C108" t="s">
        <v>33</v>
      </c>
      <c r="D108" t="s">
        <v>14</v>
      </c>
      <c r="E108">
        <v>516.75</v>
      </c>
      <c r="F108">
        <v>2100</v>
      </c>
      <c r="G108">
        <v>2300</v>
      </c>
      <c r="J108" t="s">
        <v>37</v>
      </c>
      <c r="K108" t="s">
        <v>35</v>
      </c>
      <c r="L108" t="s">
        <v>17</v>
      </c>
      <c r="M108" t="s">
        <v>19</v>
      </c>
      <c r="N108">
        <v>13</v>
      </c>
      <c r="O108" t="s">
        <v>72</v>
      </c>
      <c r="R108" t="s">
        <v>13</v>
      </c>
      <c r="S108" t="s">
        <v>28</v>
      </c>
      <c r="T108">
        <v>327.5</v>
      </c>
      <c r="U108" t="str">
        <f>_xlfn.IFNA(_xlfn.IFS(E108&gt;Dash!$D$46, "Big", E108&lt;Dash!$D$49, "Small", E108&gt;Dash!$D$47, "Good"), "Norm")</f>
        <v>Big</v>
      </c>
      <c r="V108" t="s">
        <v>33</v>
      </c>
      <c r="W108">
        <v>264</v>
      </c>
      <c r="X108" t="s">
        <v>43</v>
      </c>
    </row>
    <row r="109" spans="1:24" x14ac:dyDescent="0.25">
      <c r="A109" s="1">
        <v>45510</v>
      </c>
      <c r="B109" t="s">
        <v>19</v>
      </c>
      <c r="C109" t="s">
        <v>33</v>
      </c>
      <c r="D109" t="s">
        <v>43</v>
      </c>
      <c r="E109">
        <v>517.25</v>
      </c>
      <c r="F109">
        <v>2100</v>
      </c>
      <c r="G109">
        <v>2100</v>
      </c>
      <c r="J109" t="s">
        <v>29</v>
      </c>
      <c r="K109" t="s">
        <v>25</v>
      </c>
      <c r="L109" t="s">
        <v>32</v>
      </c>
      <c r="M109" t="s">
        <v>23</v>
      </c>
      <c r="N109">
        <v>2</v>
      </c>
      <c r="R109" t="s">
        <v>33</v>
      </c>
      <c r="S109" t="s">
        <v>48</v>
      </c>
      <c r="T109">
        <v>606.75</v>
      </c>
      <c r="U109" t="str">
        <f>_xlfn.IFNA(_xlfn.IFS(E109&gt;Dash!$D$46, "Big", E109&lt;Dash!$D$49, "Small", E109&gt;Dash!$D$47, "Good"), "Norm")</f>
        <v>Big</v>
      </c>
      <c r="V109">
        <v>0</v>
      </c>
      <c r="W109">
        <v>926.5</v>
      </c>
      <c r="X109" t="s">
        <v>47</v>
      </c>
    </row>
    <row r="110" spans="1:24" x14ac:dyDescent="0.25">
      <c r="A110" s="1">
        <v>45531</v>
      </c>
      <c r="B110" t="s">
        <v>19</v>
      </c>
      <c r="C110" t="s">
        <v>33</v>
      </c>
      <c r="D110" t="s">
        <v>46</v>
      </c>
      <c r="E110">
        <v>252.75</v>
      </c>
      <c r="F110">
        <v>800</v>
      </c>
      <c r="G110">
        <v>800</v>
      </c>
      <c r="J110" t="s">
        <v>45</v>
      </c>
      <c r="K110" t="s">
        <v>25</v>
      </c>
      <c r="L110" t="s">
        <v>35</v>
      </c>
      <c r="M110" t="s">
        <v>19</v>
      </c>
      <c r="N110">
        <v>4</v>
      </c>
      <c r="R110" t="s">
        <v>20</v>
      </c>
      <c r="S110" t="s">
        <v>14</v>
      </c>
      <c r="T110">
        <v>378</v>
      </c>
      <c r="U110" t="str">
        <f>_xlfn.IFNA(_xlfn.IFS(E110&gt;Dash!$D$46, "Big", E110&lt;Dash!$D$49, "Small", E110&gt;Dash!$D$47, "Good"), "Norm")</f>
        <v>Good</v>
      </c>
      <c r="V110" t="s">
        <v>41</v>
      </c>
      <c r="W110">
        <v>296</v>
      </c>
      <c r="X110" t="s">
        <v>14</v>
      </c>
    </row>
    <row r="111" spans="1:24" x14ac:dyDescent="0.25">
      <c r="A111" s="1">
        <v>45552</v>
      </c>
      <c r="B111" t="s">
        <v>19</v>
      </c>
      <c r="C111" t="s">
        <v>33</v>
      </c>
      <c r="D111" t="s">
        <v>28</v>
      </c>
      <c r="E111">
        <v>275.75</v>
      </c>
      <c r="F111">
        <v>500</v>
      </c>
      <c r="G111">
        <v>500</v>
      </c>
      <c r="J111" t="s">
        <v>30</v>
      </c>
      <c r="K111" t="s">
        <v>35</v>
      </c>
      <c r="L111" t="s">
        <v>17</v>
      </c>
      <c r="M111" t="s">
        <v>19</v>
      </c>
      <c r="N111">
        <v>7</v>
      </c>
      <c r="R111" t="s">
        <v>33</v>
      </c>
      <c r="S111" t="s">
        <v>48</v>
      </c>
      <c r="T111">
        <v>342</v>
      </c>
      <c r="U111" t="str">
        <f>_xlfn.IFNA(_xlfn.IFS(E111&gt;Dash!$D$46, "Big", E111&lt;Dash!$D$49, "Small", E111&gt;Dash!$D$47, "Good"), "Norm")</f>
        <v>Good</v>
      </c>
      <c r="V111" t="s">
        <v>24</v>
      </c>
      <c r="W111">
        <v>168.5</v>
      </c>
      <c r="X111" t="s">
        <v>51</v>
      </c>
    </row>
    <row r="112" spans="1:24" x14ac:dyDescent="0.25">
      <c r="A112" s="1">
        <v>45559</v>
      </c>
      <c r="B112" t="s">
        <v>19</v>
      </c>
      <c r="C112" t="s">
        <v>33</v>
      </c>
      <c r="D112" t="s">
        <v>28</v>
      </c>
      <c r="E112">
        <v>261.75</v>
      </c>
      <c r="F112">
        <v>400</v>
      </c>
      <c r="G112">
        <v>500</v>
      </c>
      <c r="J112" t="s">
        <v>30</v>
      </c>
      <c r="K112" t="s">
        <v>25</v>
      </c>
      <c r="L112" t="s">
        <v>35</v>
      </c>
      <c r="M112" t="s">
        <v>23</v>
      </c>
      <c r="N112">
        <v>7</v>
      </c>
      <c r="R112" t="s">
        <v>41</v>
      </c>
      <c r="S112" t="s">
        <v>43</v>
      </c>
      <c r="T112">
        <v>146</v>
      </c>
      <c r="U112" t="str">
        <f>_xlfn.IFNA(_xlfn.IFS(E112&gt;Dash!$D$46, "Big", E112&lt;Dash!$D$49, "Small", E112&gt;Dash!$D$47, "Good"), "Norm")</f>
        <v>Good</v>
      </c>
      <c r="V112">
        <v>0</v>
      </c>
      <c r="W112">
        <v>108</v>
      </c>
      <c r="X112" t="s">
        <v>28</v>
      </c>
    </row>
    <row r="113" spans="1:24" x14ac:dyDescent="0.25">
      <c r="A113" s="1">
        <v>45580</v>
      </c>
      <c r="B113" t="s">
        <v>19</v>
      </c>
      <c r="C113" t="s">
        <v>33</v>
      </c>
      <c r="D113" t="s">
        <v>14</v>
      </c>
      <c r="E113">
        <v>405.25</v>
      </c>
      <c r="F113">
        <v>1000</v>
      </c>
      <c r="G113">
        <v>1000</v>
      </c>
      <c r="J113" t="s">
        <v>45</v>
      </c>
      <c r="K113" t="s">
        <v>35</v>
      </c>
      <c r="L113" t="s">
        <v>17</v>
      </c>
      <c r="M113" t="s">
        <v>36</v>
      </c>
      <c r="N113">
        <v>3</v>
      </c>
      <c r="R113" t="s">
        <v>24</v>
      </c>
      <c r="S113" t="s">
        <v>46</v>
      </c>
      <c r="T113">
        <v>173</v>
      </c>
      <c r="U113" t="str">
        <f>_xlfn.IFNA(_xlfn.IFS(E113&gt;Dash!$D$46, "Big", E113&lt;Dash!$D$49, "Small", E113&gt;Dash!$D$47, "Good"), "Norm")</f>
        <v>Big</v>
      </c>
      <c r="V113" t="s">
        <v>24</v>
      </c>
      <c r="W113">
        <v>177.5</v>
      </c>
      <c r="X113" t="s">
        <v>28</v>
      </c>
    </row>
    <row r="114" spans="1:24" x14ac:dyDescent="0.25">
      <c r="A114" s="1">
        <v>45587</v>
      </c>
      <c r="B114" t="s">
        <v>19</v>
      </c>
      <c r="C114" t="s">
        <v>33</v>
      </c>
      <c r="D114" t="s">
        <v>28</v>
      </c>
      <c r="E114">
        <v>242</v>
      </c>
      <c r="F114">
        <v>1300</v>
      </c>
      <c r="G114">
        <v>1400</v>
      </c>
      <c r="J114" t="s">
        <v>49</v>
      </c>
      <c r="K114" t="s">
        <v>25</v>
      </c>
      <c r="L114" t="s">
        <v>32</v>
      </c>
      <c r="M114" t="s">
        <v>36</v>
      </c>
      <c r="N114">
        <v>3</v>
      </c>
      <c r="R114" t="s">
        <v>20</v>
      </c>
      <c r="S114" t="s">
        <v>14</v>
      </c>
      <c r="T114">
        <v>415.5</v>
      </c>
      <c r="U114" t="str">
        <f>_xlfn.IFNA(_xlfn.IFS(E114&gt;Dash!$D$46, "Big", E114&lt;Dash!$D$49, "Small", E114&gt;Dash!$D$47, "Good"), "Norm")</f>
        <v>Norm</v>
      </c>
      <c r="V114" t="s">
        <v>41</v>
      </c>
      <c r="W114">
        <v>209.5</v>
      </c>
      <c r="X114" t="s">
        <v>28</v>
      </c>
    </row>
    <row r="115" spans="1:24" x14ac:dyDescent="0.25">
      <c r="A115" s="1">
        <v>45594</v>
      </c>
      <c r="B115" t="s">
        <v>19</v>
      </c>
      <c r="C115" t="s">
        <v>33</v>
      </c>
      <c r="D115" t="s">
        <v>38</v>
      </c>
      <c r="E115">
        <v>314.25</v>
      </c>
      <c r="F115">
        <v>2000</v>
      </c>
      <c r="G115">
        <v>2000</v>
      </c>
      <c r="H115">
        <v>1300</v>
      </c>
      <c r="J115" t="s">
        <v>45</v>
      </c>
      <c r="K115" t="s">
        <v>25</v>
      </c>
      <c r="L115" t="s">
        <v>32</v>
      </c>
      <c r="M115" t="s">
        <v>19</v>
      </c>
      <c r="N115">
        <v>11</v>
      </c>
      <c r="O115" t="s">
        <v>75</v>
      </c>
      <c r="R115" t="s">
        <v>13</v>
      </c>
      <c r="S115" t="s">
        <v>14</v>
      </c>
      <c r="T115">
        <v>219.75</v>
      </c>
      <c r="U115" t="str">
        <f>_xlfn.IFNA(_xlfn.IFS(E115&gt;Dash!$D$46, "Big", E115&lt;Dash!$D$49, "Small", E115&gt;Dash!$D$47, "Good"), "Norm")</f>
        <v>Good</v>
      </c>
      <c r="V115" t="s">
        <v>20</v>
      </c>
      <c r="W115">
        <v>179.75</v>
      </c>
      <c r="X115">
        <v>1</v>
      </c>
    </row>
    <row r="116" spans="1:24" x14ac:dyDescent="0.25">
      <c r="A116" s="1">
        <v>45608</v>
      </c>
      <c r="B116" t="s">
        <v>19</v>
      </c>
      <c r="C116" t="s">
        <v>33</v>
      </c>
      <c r="D116" t="s">
        <v>14</v>
      </c>
      <c r="E116">
        <v>197</v>
      </c>
      <c r="F116">
        <v>1200</v>
      </c>
      <c r="G116">
        <v>1300</v>
      </c>
      <c r="J116" t="s">
        <v>21</v>
      </c>
      <c r="K116" t="s">
        <v>35</v>
      </c>
      <c r="L116" t="s">
        <v>17</v>
      </c>
      <c r="M116" t="s">
        <v>18</v>
      </c>
      <c r="N116">
        <v>9</v>
      </c>
      <c r="R116" t="s">
        <v>33</v>
      </c>
      <c r="S116" t="s">
        <v>43</v>
      </c>
      <c r="T116">
        <v>212</v>
      </c>
      <c r="U116" t="str">
        <f>_xlfn.IFNA(_xlfn.IFS(E116&gt;Dash!$D$46, "Big", E116&lt;Dash!$D$49, "Small", E116&gt;Dash!$D$47, "Good"), "Norm")</f>
        <v>Norm</v>
      </c>
      <c r="V116" t="s">
        <v>33</v>
      </c>
      <c r="W116">
        <v>242.5</v>
      </c>
      <c r="X116" t="s">
        <v>48</v>
      </c>
    </row>
    <row r="117" spans="1:24" x14ac:dyDescent="0.25">
      <c r="A117" s="1">
        <v>45615</v>
      </c>
      <c r="B117" t="s">
        <v>19</v>
      </c>
      <c r="C117" t="s">
        <v>33</v>
      </c>
      <c r="D117" t="s">
        <v>38</v>
      </c>
      <c r="E117">
        <v>410</v>
      </c>
      <c r="F117">
        <v>800</v>
      </c>
      <c r="G117">
        <v>900</v>
      </c>
      <c r="H117">
        <v>1300</v>
      </c>
      <c r="J117" t="s">
        <v>45</v>
      </c>
      <c r="K117" t="s">
        <v>25</v>
      </c>
      <c r="L117" t="s">
        <v>32</v>
      </c>
      <c r="M117" t="s">
        <v>36</v>
      </c>
      <c r="N117">
        <v>3</v>
      </c>
      <c r="R117" t="s">
        <v>41</v>
      </c>
      <c r="S117" t="s">
        <v>43</v>
      </c>
      <c r="T117">
        <v>353</v>
      </c>
      <c r="U117" t="str">
        <f>_xlfn.IFNA(_xlfn.IFS(E117&gt;Dash!$D$46, "Big", E117&lt;Dash!$D$49, "Small", E117&gt;Dash!$D$47, "Good"), "Norm")</f>
        <v>Big</v>
      </c>
      <c r="V117" t="s">
        <v>24</v>
      </c>
      <c r="W117">
        <v>242.75</v>
      </c>
      <c r="X117">
        <v>1</v>
      </c>
    </row>
    <row r="118" spans="1:24" x14ac:dyDescent="0.25">
      <c r="A118" s="1">
        <v>45629</v>
      </c>
      <c r="B118" t="s">
        <v>19</v>
      </c>
      <c r="C118" t="s">
        <v>33</v>
      </c>
      <c r="D118" t="s">
        <v>28</v>
      </c>
      <c r="E118">
        <v>155.5</v>
      </c>
      <c r="F118">
        <v>1100</v>
      </c>
      <c r="G118">
        <v>1100</v>
      </c>
      <c r="J118" t="s">
        <v>27</v>
      </c>
      <c r="K118" t="s">
        <v>25</v>
      </c>
      <c r="L118" t="s">
        <v>44</v>
      </c>
      <c r="M118" t="s">
        <v>23</v>
      </c>
      <c r="N118">
        <v>9</v>
      </c>
      <c r="R118" t="s">
        <v>13</v>
      </c>
      <c r="S118" t="s">
        <v>28</v>
      </c>
      <c r="T118">
        <v>160.25</v>
      </c>
      <c r="U118" t="str">
        <f>_xlfn.IFNA(_xlfn.IFS(E118&gt;Dash!$D$46, "Big", E118&lt;Dash!$D$49, "Small", E118&gt;Dash!$D$47, "Good"), "Norm")</f>
        <v>Small</v>
      </c>
      <c r="V118" t="s">
        <v>13</v>
      </c>
      <c r="W118">
        <v>260.75</v>
      </c>
      <c r="X118" t="s">
        <v>28</v>
      </c>
    </row>
    <row r="119" spans="1:24" x14ac:dyDescent="0.25">
      <c r="A119" s="1">
        <v>45636</v>
      </c>
      <c r="B119" t="s">
        <v>19</v>
      </c>
      <c r="C119" t="s">
        <v>33</v>
      </c>
      <c r="D119" t="s">
        <v>14</v>
      </c>
      <c r="E119">
        <v>254</v>
      </c>
      <c r="F119">
        <v>1400</v>
      </c>
      <c r="J119" t="s">
        <v>21</v>
      </c>
      <c r="K119" t="s">
        <v>35</v>
      </c>
      <c r="L119" t="s">
        <v>17</v>
      </c>
      <c r="M119" t="s">
        <v>18</v>
      </c>
      <c r="N119">
        <v>6</v>
      </c>
      <c r="R119" t="s">
        <v>20</v>
      </c>
      <c r="S119" t="s">
        <v>28</v>
      </c>
      <c r="T119">
        <v>383.75</v>
      </c>
      <c r="U119" t="str">
        <f>_xlfn.IFNA(_xlfn.IFS(E119&gt;Dash!$D$46, "Big", E119&lt;Dash!$D$49, "Small", E119&gt;Dash!$D$47, "Good"), "Norm")</f>
        <v>Good</v>
      </c>
      <c r="V119" t="s">
        <v>41</v>
      </c>
      <c r="W119">
        <v>212.75</v>
      </c>
      <c r="X119" t="s">
        <v>43</v>
      </c>
    </row>
    <row r="120" spans="1:24" x14ac:dyDescent="0.25">
      <c r="A120" s="1">
        <v>45182</v>
      </c>
      <c r="B120" t="s">
        <v>18</v>
      </c>
      <c r="C120" t="s">
        <v>33</v>
      </c>
      <c r="D120" t="s">
        <v>46</v>
      </c>
      <c r="E120">
        <v>211.5</v>
      </c>
      <c r="F120">
        <v>2200</v>
      </c>
      <c r="G120">
        <v>0</v>
      </c>
      <c r="J120" t="s">
        <v>37</v>
      </c>
      <c r="K120" t="s">
        <v>25</v>
      </c>
      <c r="L120" t="s">
        <v>32</v>
      </c>
      <c r="M120" t="s">
        <v>18</v>
      </c>
      <c r="N120">
        <v>10</v>
      </c>
      <c r="P120">
        <v>1300</v>
      </c>
      <c r="Q120">
        <v>1500</v>
      </c>
      <c r="R120" t="s">
        <v>33</v>
      </c>
      <c r="S120" t="s">
        <v>28</v>
      </c>
      <c r="T120">
        <v>180.5</v>
      </c>
      <c r="U120" t="str">
        <f>_xlfn.IFNA(_xlfn.IFS(E120&gt;Dash!$D$46, "Big", E120&lt;Dash!$D$49, "Small", E120&gt;Dash!$D$47, "Good"), "Norm")</f>
        <v>Norm</v>
      </c>
      <c r="V120" t="s">
        <v>20</v>
      </c>
      <c r="W120">
        <v>172.5</v>
      </c>
      <c r="X120" t="s">
        <v>14</v>
      </c>
    </row>
    <row r="121" spans="1:24" x14ac:dyDescent="0.25">
      <c r="A121" s="1">
        <v>45189</v>
      </c>
      <c r="B121" t="s">
        <v>18</v>
      </c>
      <c r="C121" t="s">
        <v>33</v>
      </c>
      <c r="D121" t="s">
        <v>14</v>
      </c>
      <c r="E121">
        <v>288.75</v>
      </c>
      <c r="F121">
        <v>1500</v>
      </c>
      <c r="J121" t="s">
        <v>21</v>
      </c>
      <c r="K121" t="s">
        <v>35</v>
      </c>
      <c r="L121" t="s">
        <v>17</v>
      </c>
      <c r="M121" t="s">
        <v>18</v>
      </c>
      <c r="N121">
        <v>7</v>
      </c>
      <c r="P121">
        <v>1400</v>
      </c>
      <c r="Q121">
        <v>1600</v>
      </c>
      <c r="R121" t="s">
        <v>13</v>
      </c>
      <c r="S121" t="s">
        <v>14</v>
      </c>
      <c r="T121">
        <v>161</v>
      </c>
      <c r="U121" t="str">
        <f>_xlfn.IFNA(_xlfn.IFS(E121&gt;Dash!$D$46, "Big", E121&lt;Dash!$D$49, "Small", E121&gt;Dash!$D$47, "Good"), "Norm")</f>
        <v>Good</v>
      </c>
      <c r="V121" t="s">
        <v>33</v>
      </c>
      <c r="W121">
        <v>179.5</v>
      </c>
      <c r="X121" t="s">
        <v>14</v>
      </c>
    </row>
    <row r="122" spans="1:24" x14ac:dyDescent="0.25">
      <c r="A122" s="1">
        <v>45196</v>
      </c>
      <c r="B122" t="s">
        <v>18</v>
      </c>
      <c r="C122" t="s">
        <v>33</v>
      </c>
      <c r="D122" t="s">
        <v>46</v>
      </c>
      <c r="E122">
        <v>235.5</v>
      </c>
      <c r="F122">
        <v>1200</v>
      </c>
      <c r="G122">
        <v>1400</v>
      </c>
      <c r="J122" t="s">
        <v>21</v>
      </c>
      <c r="K122" t="s">
        <v>17</v>
      </c>
      <c r="L122" t="s">
        <v>32</v>
      </c>
      <c r="M122" t="s">
        <v>19</v>
      </c>
      <c r="N122">
        <v>6</v>
      </c>
      <c r="P122">
        <v>1300</v>
      </c>
      <c r="Q122">
        <v>1500</v>
      </c>
      <c r="R122" t="s">
        <v>33</v>
      </c>
      <c r="S122" t="s">
        <v>28</v>
      </c>
      <c r="T122">
        <v>289.5</v>
      </c>
      <c r="U122" t="str">
        <f>_xlfn.IFNA(_xlfn.IFS(E122&gt;Dash!$D$46, "Big", E122&lt;Dash!$D$49, "Small", E122&gt;Dash!$D$47, "Good"), "Norm")</f>
        <v>Norm</v>
      </c>
      <c r="V122" t="s">
        <v>13</v>
      </c>
      <c r="W122">
        <v>226.75</v>
      </c>
      <c r="X122" t="s">
        <v>14</v>
      </c>
    </row>
    <row r="123" spans="1:24" x14ac:dyDescent="0.25">
      <c r="A123" s="1">
        <v>45210</v>
      </c>
      <c r="B123" t="s">
        <v>18</v>
      </c>
      <c r="C123" t="s">
        <v>33</v>
      </c>
      <c r="D123" t="s">
        <v>28</v>
      </c>
      <c r="E123">
        <v>134.25</v>
      </c>
      <c r="F123">
        <v>900</v>
      </c>
      <c r="G123">
        <v>900</v>
      </c>
      <c r="J123" t="s">
        <v>27</v>
      </c>
      <c r="K123" t="s">
        <v>35</v>
      </c>
      <c r="L123" t="s">
        <v>17</v>
      </c>
      <c r="M123" t="s">
        <v>18</v>
      </c>
      <c r="N123">
        <v>8</v>
      </c>
      <c r="P123">
        <v>1300</v>
      </c>
      <c r="Q123">
        <v>1600</v>
      </c>
      <c r="R123" t="s">
        <v>33</v>
      </c>
      <c r="S123" t="s">
        <v>43</v>
      </c>
      <c r="T123">
        <v>252.5</v>
      </c>
      <c r="U123" t="str">
        <f>_xlfn.IFNA(_xlfn.IFS(E123&gt;Dash!$D$46, "Big", E123&lt;Dash!$D$49, "Small", E123&gt;Dash!$D$47, "Good"), "Norm")</f>
        <v>Small</v>
      </c>
      <c r="V123" t="s">
        <v>20</v>
      </c>
      <c r="W123">
        <v>210</v>
      </c>
      <c r="X123" t="s">
        <v>28</v>
      </c>
    </row>
    <row r="124" spans="1:24" x14ac:dyDescent="0.25">
      <c r="A124" s="1">
        <v>45238</v>
      </c>
      <c r="B124" t="s">
        <v>18</v>
      </c>
      <c r="C124" t="s">
        <v>33</v>
      </c>
      <c r="D124" t="s">
        <v>43</v>
      </c>
      <c r="E124">
        <v>130.75</v>
      </c>
      <c r="F124">
        <v>900</v>
      </c>
      <c r="G124">
        <v>900</v>
      </c>
      <c r="J124" t="s">
        <v>27</v>
      </c>
      <c r="K124" t="s">
        <v>35</v>
      </c>
      <c r="L124" t="s">
        <v>17</v>
      </c>
      <c r="M124" t="s">
        <v>19</v>
      </c>
      <c r="N124">
        <v>5</v>
      </c>
      <c r="P124">
        <v>1200</v>
      </c>
      <c r="Q124">
        <v>1500</v>
      </c>
      <c r="R124" t="s">
        <v>33</v>
      </c>
      <c r="S124" t="s">
        <v>43</v>
      </c>
      <c r="T124">
        <v>217</v>
      </c>
      <c r="U124" t="str">
        <f>_xlfn.IFNA(_xlfn.IFS(E124&gt;Dash!$D$46, "Big", E124&lt;Dash!$D$49, "Small", E124&gt;Dash!$D$47, "Good"), "Norm")</f>
        <v>Small</v>
      </c>
      <c r="V124" t="s">
        <v>20</v>
      </c>
      <c r="W124">
        <v>192.75</v>
      </c>
      <c r="X124" t="s">
        <v>28</v>
      </c>
    </row>
    <row r="125" spans="1:24" x14ac:dyDescent="0.25">
      <c r="A125" s="1">
        <v>45245</v>
      </c>
      <c r="B125" t="s">
        <v>18</v>
      </c>
      <c r="C125" t="s">
        <v>33</v>
      </c>
      <c r="D125" t="s">
        <v>43</v>
      </c>
      <c r="E125">
        <v>217</v>
      </c>
      <c r="F125">
        <v>2100</v>
      </c>
      <c r="G125">
        <v>200</v>
      </c>
      <c r="J125" t="s">
        <v>29</v>
      </c>
      <c r="K125" t="s">
        <v>35</v>
      </c>
      <c r="L125" t="s">
        <v>17</v>
      </c>
      <c r="M125" t="s">
        <v>19</v>
      </c>
      <c r="N125">
        <v>9</v>
      </c>
      <c r="P125">
        <v>1400</v>
      </c>
      <c r="Q125">
        <v>1600</v>
      </c>
      <c r="R125" t="s">
        <v>33</v>
      </c>
      <c r="S125" t="s">
        <v>46</v>
      </c>
      <c r="T125">
        <v>110</v>
      </c>
      <c r="U125" t="str">
        <f>_xlfn.IFNA(_xlfn.IFS(E125&gt;Dash!$D$46, "Big", E125&lt;Dash!$D$49, "Small", E125&gt;Dash!$D$47, "Good"), "Norm")</f>
        <v>Norm</v>
      </c>
      <c r="V125" t="s">
        <v>13</v>
      </c>
      <c r="W125">
        <v>366.75</v>
      </c>
      <c r="X125" t="s">
        <v>28</v>
      </c>
    </row>
    <row r="126" spans="1:24" x14ac:dyDescent="0.25">
      <c r="A126" s="1">
        <v>45259</v>
      </c>
      <c r="B126" t="s">
        <v>18</v>
      </c>
      <c r="C126" t="s">
        <v>33</v>
      </c>
      <c r="D126" t="s">
        <v>43</v>
      </c>
      <c r="E126">
        <v>195</v>
      </c>
      <c r="F126">
        <v>2000</v>
      </c>
      <c r="G126">
        <v>100</v>
      </c>
      <c r="J126" t="s">
        <v>29</v>
      </c>
      <c r="K126" t="s">
        <v>35</v>
      </c>
      <c r="L126" t="s">
        <v>17</v>
      </c>
      <c r="M126" t="s">
        <v>19</v>
      </c>
      <c r="N126">
        <v>8</v>
      </c>
      <c r="P126">
        <v>1300</v>
      </c>
      <c r="Q126">
        <v>1500</v>
      </c>
      <c r="R126" t="s">
        <v>33</v>
      </c>
      <c r="S126" t="s">
        <v>14</v>
      </c>
      <c r="T126">
        <v>242.5</v>
      </c>
      <c r="U126" t="str">
        <f>_xlfn.IFNA(_xlfn.IFS(E126&gt;Dash!$D$46, "Big", E126&lt;Dash!$D$49, "Small", E126&gt;Dash!$D$47, "Good"), "Norm")</f>
        <v>Norm</v>
      </c>
      <c r="V126" t="s">
        <v>33</v>
      </c>
      <c r="W126">
        <v>126</v>
      </c>
      <c r="X126">
        <v>1</v>
      </c>
    </row>
    <row r="127" spans="1:24" x14ac:dyDescent="0.25">
      <c r="A127" s="1">
        <v>45266</v>
      </c>
      <c r="B127" t="s">
        <v>18</v>
      </c>
      <c r="C127" t="s">
        <v>33</v>
      </c>
      <c r="D127" t="s">
        <v>43</v>
      </c>
      <c r="E127">
        <v>235.75</v>
      </c>
      <c r="F127">
        <v>1900</v>
      </c>
      <c r="G127">
        <v>300</v>
      </c>
      <c r="J127" t="s">
        <v>29</v>
      </c>
      <c r="K127" t="s">
        <v>35</v>
      </c>
      <c r="L127" t="s">
        <v>17</v>
      </c>
      <c r="M127" t="s">
        <v>19</v>
      </c>
      <c r="N127">
        <v>8</v>
      </c>
      <c r="P127">
        <v>900</v>
      </c>
      <c r="Q127">
        <v>1500</v>
      </c>
      <c r="R127" t="s">
        <v>20</v>
      </c>
      <c r="S127" t="s">
        <v>38</v>
      </c>
      <c r="T127">
        <v>221.5</v>
      </c>
      <c r="U127" t="str">
        <f>_xlfn.IFNA(_xlfn.IFS(E127&gt;Dash!$D$46, "Big", E127&lt;Dash!$D$49, "Small", E127&gt;Dash!$D$47, "Good"), "Norm")</f>
        <v>Norm</v>
      </c>
      <c r="V127" t="s">
        <v>41</v>
      </c>
      <c r="W127">
        <v>192</v>
      </c>
      <c r="X127">
        <v>1</v>
      </c>
    </row>
    <row r="128" spans="1:24" x14ac:dyDescent="0.25">
      <c r="A128" s="1">
        <v>45273</v>
      </c>
      <c r="B128" t="s">
        <v>18</v>
      </c>
      <c r="C128" t="s">
        <v>33</v>
      </c>
      <c r="D128" t="s">
        <v>28</v>
      </c>
      <c r="E128">
        <v>230.5</v>
      </c>
      <c r="F128">
        <v>1800</v>
      </c>
      <c r="G128">
        <v>100</v>
      </c>
      <c r="J128" t="s">
        <v>29</v>
      </c>
      <c r="K128" t="s">
        <v>17</v>
      </c>
      <c r="L128" t="s">
        <v>32</v>
      </c>
      <c r="M128" t="s">
        <v>19</v>
      </c>
      <c r="N128">
        <v>15</v>
      </c>
      <c r="P128">
        <v>1300</v>
      </c>
      <c r="Q128">
        <v>1500</v>
      </c>
      <c r="R128" t="s">
        <v>13</v>
      </c>
      <c r="S128" t="s">
        <v>43</v>
      </c>
      <c r="T128">
        <v>249.25</v>
      </c>
      <c r="U128" t="str">
        <f>_xlfn.IFNA(_xlfn.IFS(E128&gt;Dash!$D$46, "Big", E128&lt;Dash!$D$49, "Small", E128&gt;Dash!$D$47, "Good"), "Norm")</f>
        <v>Norm</v>
      </c>
      <c r="V128">
        <v>0</v>
      </c>
      <c r="W128">
        <v>183.25</v>
      </c>
      <c r="X128" t="s">
        <v>28</v>
      </c>
    </row>
    <row r="129" spans="1:24" x14ac:dyDescent="0.25">
      <c r="A129" s="1">
        <v>45280</v>
      </c>
      <c r="B129" t="s">
        <v>18</v>
      </c>
      <c r="C129" t="s">
        <v>33</v>
      </c>
      <c r="D129" t="s">
        <v>57</v>
      </c>
      <c r="E129">
        <v>313.25</v>
      </c>
      <c r="F129">
        <v>1800</v>
      </c>
      <c r="G129">
        <v>1800</v>
      </c>
      <c r="H129">
        <v>1400</v>
      </c>
      <c r="J129" t="s">
        <v>29</v>
      </c>
      <c r="K129" t="s">
        <v>35</v>
      </c>
      <c r="L129" t="s">
        <v>42</v>
      </c>
      <c r="M129" t="s">
        <v>18</v>
      </c>
      <c r="N129">
        <v>5</v>
      </c>
      <c r="P129">
        <v>1300</v>
      </c>
      <c r="Q129">
        <v>1600</v>
      </c>
      <c r="R129" t="s">
        <v>24</v>
      </c>
      <c r="S129">
        <v>1</v>
      </c>
      <c r="T129">
        <v>155.25</v>
      </c>
      <c r="U129" t="str">
        <f>_xlfn.IFNA(_xlfn.IFS(E129&gt;Dash!$D$46, "Big", E129&lt;Dash!$D$49, "Small", E129&gt;Dash!$D$47, "Good"), "Norm")</f>
        <v>Good</v>
      </c>
      <c r="V129" t="s">
        <v>13</v>
      </c>
      <c r="W129">
        <v>83</v>
      </c>
      <c r="X129" t="s">
        <v>28</v>
      </c>
    </row>
    <row r="130" spans="1:24" x14ac:dyDescent="0.25">
      <c r="A130" s="1">
        <v>45287</v>
      </c>
      <c r="B130" t="s">
        <v>18</v>
      </c>
      <c r="C130" t="s">
        <v>33</v>
      </c>
      <c r="D130" t="s">
        <v>28</v>
      </c>
      <c r="E130">
        <v>72.25</v>
      </c>
      <c r="F130">
        <v>900</v>
      </c>
      <c r="G130">
        <v>1000</v>
      </c>
      <c r="J130" t="s">
        <v>27</v>
      </c>
      <c r="K130" t="s">
        <v>25</v>
      </c>
      <c r="L130" t="s">
        <v>44</v>
      </c>
      <c r="M130" t="s">
        <v>58</v>
      </c>
      <c r="N130">
        <v>0</v>
      </c>
      <c r="P130">
        <v>1400</v>
      </c>
      <c r="Q130">
        <v>1600</v>
      </c>
      <c r="R130" t="s">
        <v>33</v>
      </c>
      <c r="S130" t="s">
        <v>43</v>
      </c>
      <c r="T130">
        <v>87.5</v>
      </c>
      <c r="U130" t="str">
        <f>_xlfn.IFNA(_xlfn.IFS(E130&gt;Dash!$D$46, "Big", E130&lt;Dash!$D$49, "Small", E130&gt;Dash!$D$47, "Good"), "Norm")</f>
        <v>Small</v>
      </c>
      <c r="V130" t="s">
        <v>13</v>
      </c>
      <c r="W130">
        <v>114.25</v>
      </c>
      <c r="X130" t="s">
        <v>28</v>
      </c>
    </row>
    <row r="131" spans="1:24" x14ac:dyDescent="0.25">
      <c r="A131" s="1">
        <v>45301</v>
      </c>
      <c r="B131" t="s">
        <v>18</v>
      </c>
      <c r="C131" t="s">
        <v>33</v>
      </c>
      <c r="D131" t="s">
        <v>28</v>
      </c>
      <c r="E131">
        <v>181.5</v>
      </c>
      <c r="F131">
        <v>1400</v>
      </c>
      <c r="J131" t="s">
        <v>30</v>
      </c>
      <c r="K131" t="s">
        <v>25</v>
      </c>
      <c r="L131" t="s">
        <v>32</v>
      </c>
      <c r="M131" t="s">
        <v>36</v>
      </c>
      <c r="N131">
        <v>6</v>
      </c>
      <c r="R131" t="s">
        <v>33</v>
      </c>
      <c r="S131" t="s">
        <v>38</v>
      </c>
      <c r="T131">
        <v>304</v>
      </c>
      <c r="U131" t="str">
        <f>_xlfn.IFNA(_xlfn.IFS(E131&gt;Dash!$D$46, "Big", E131&lt;Dash!$D$49, "Small", E131&gt;Dash!$D$47, "Good"), "Norm")</f>
        <v>Norm</v>
      </c>
      <c r="V131" t="s">
        <v>33</v>
      </c>
      <c r="W131">
        <v>210.75</v>
      </c>
      <c r="X131" t="s">
        <v>28</v>
      </c>
    </row>
    <row r="132" spans="1:24" x14ac:dyDescent="0.25">
      <c r="A132" s="1">
        <v>45343</v>
      </c>
      <c r="B132" t="s">
        <v>18</v>
      </c>
      <c r="C132" t="s">
        <v>33</v>
      </c>
      <c r="D132" t="s">
        <v>46</v>
      </c>
      <c r="E132">
        <v>169.75</v>
      </c>
      <c r="F132">
        <v>2000</v>
      </c>
      <c r="G132">
        <v>2000</v>
      </c>
      <c r="J132" t="s">
        <v>45</v>
      </c>
      <c r="K132" t="s">
        <v>17</v>
      </c>
      <c r="L132" t="s">
        <v>44</v>
      </c>
      <c r="M132" t="s">
        <v>18</v>
      </c>
      <c r="N132">
        <v>4</v>
      </c>
      <c r="O132" t="s">
        <v>66</v>
      </c>
      <c r="R132" t="s">
        <v>13</v>
      </c>
      <c r="S132" t="s">
        <v>28</v>
      </c>
      <c r="T132">
        <v>223</v>
      </c>
      <c r="U132" t="str">
        <f>_xlfn.IFNA(_xlfn.IFS(E132&gt;Dash!$D$46, "Big", E132&lt;Dash!$D$49, "Small", E132&gt;Dash!$D$47, "Good"), "Norm")</f>
        <v>Norm</v>
      </c>
      <c r="V132" t="s">
        <v>13</v>
      </c>
      <c r="W132">
        <v>271.5</v>
      </c>
      <c r="X132" t="s">
        <v>14</v>
      </c>
    </row>
    <row r="133" spans="1:24" x14ac:dyDescent="0.25">
      <c r="A133" s="1">
        <v>45378</v>
      </c>
      <c r="B133" t="s">
        <v>18</v>
      </c>
      <c r="C133" t="s">
        <v>33</v>
      </c>
      <c r="D133" t="s">
        <v>46</v>
      </c>
      <c r="E133">
        <v>193.25</v>
      </c>
      <c r="F133">
        <v>1000</v>
      </c>
      <c r="G133">
        <v>1200</v>
      </c>
      <c r="J133" t="s">
        <v>45</v>
      </c>
      <c r="K133" t="s">
        <v>35</v>
      </c>
      <c r="L133" t="s">
        <v>25</v>
      </c>
      <c r="M133" t="s">
        <v>19</v>
      </c>
      <c r="N133">
        <v>6</v>
      </c>
      <c r="R133" t="s">
        <v>33</v>
      </c>
      <c r="S133">
        <v>1</v>
      </c>
      <c r="T133">
        <v>90</v>
      </c>
      <c r="U133" t="str">
        <f>_xlfn.IFNA(_xlfn.IFS(E133&gt;Dash!$D$46, "Big", E133&lt;Dash!$D$49, "Small", E133&gt;Dash!$D$47, "Good"), "Norm")</f>
        <v>Norm</v>
      </c>
      <c r="V133" t="s">
        <v>20</v>
      </c>
      <c r="W133">
        <v>177.5</v>
      </c>
      <c r="X133" t="s">
        <v>43</v>
      </c>
    </row>
    <row r="134" spans="1:24" x14ac:dyDescent="0.25">
      <c r="A134" s="1">
        <v>45385</v>
      </c>
      <c r="B134" t="s">
        <v>18</v>
      </c>
      <c r="C134" t="s">
        <v>33</v>
      </c>
      <c r="D134">
        <v>1</v>
      </c>
      <c r="E134">
        <v>219.25</v>
      </c>
      <c r="J134" t="s">
        <v>34</v>
      </c>
      <c r="K134" t="s">
        <v>25</v>
      </c>
      <c r="L134" t="s">
        <v>35</v>
      </c>
      <c r="M134" t="s">
        <v>23</v>
      </c>
      <c r="N134">
        <v>9</v>
      </c>
      <c r="R134" t="s">
        <v>33</v>
      </c>
      <c r="S134" t="s">
        <v>48</v>
      </c>
      <c r="T134">
        <v>498.75</v>
      </c>
      <c r="U134" t="str">
        <f>_xlfn.IFNA(_xlfn.IFS(E134&gt;Dash!$D$46, "Big", E134&lt;Dash!$D$49, "Small", E134&gt;Dash!$D$47, "Good"), "Norm")</f>
        <v>Norm</v>
      </c>
      <c r="V134" t="s">
        <v>41</v>
      </c>
      <c r="W134">
        <v>213</v>
      </c>
      <c r="X134" t="s">
        <v>14</v>
      </c>
    </row>
    <row r="135" spans="1:24" x14ac:dyDescent="0.25">
      <c r="A135" s="1">
        <v>45392</v>
      </c>
      <c r="B135" t="s">
        <v>18</v>
      </c>
      <c r="C135" t="s">
        <v>33</v>
      </c>
      <c r="D135" t="s">
        <v>48</v>
      </c>
      <c r="E135">
        <v>420.75</v>
      </c>
      <c r="F135">
        <v>400</v>
      </c>
      <c r="G135">
        <v>400</v>
      </c>
      <c r="H135">
        <v>800</v>
      </c>
      <c r="J135" t="s">
        <v>30</v>
      </c>
      <c r="K135" t="s">
        <v>35</v>
      </c>
      <c r="L135" t="s">
        <v>25</v>
      </c>
      <c r="M135" t="s">
        <v>18</v>
      </c>
      <c r="N135">
        <v>9</v>
      </c>
      <c r="R135" t="s">
        <v>33</v>
      </c>
      <c r="S135" t="s">
        <v>28</v>
      </c>
      <c r="T135">
        <v>430.75</v>
      </c>
      <c r="U135" t="str">
        <f>_xlfn.IFNA(_xlfn.IFS(E135&gt;Dash!$D$46, "Big", E135&lt;Dash!$D$49, "Small", E135&gt;Dash!$D$47, "Good"), "Norm")</f>
        <v>Big</v>
      </c>
      <c r="V135" t="s">
        <v>33</v>
      </c>
      <c r="W135">
        <v>244.25</v>
      </c>
      <c r="X135" t="s">
        <v>53</v>
      </c>
    </row>
    <row r="136" spans="1:24" x14ac:dyDescent="0.25">
      <c r="A136" s="1">
        <v>45399</v>
      </c>
      <c r="B136" t="s">
        <v>18</v>
      </c>
      <c r="C136" t="s">
        <v>33</v>
      </c>
      <c r="D136" t="s">
        <v>14</v>
      </c>
      <c r="E136">
        <v>353.25</v>
      </c>
      <c r="F136">
        <v>200</v>
      </c>
      <c r="G136">
        <v>200</v>
      </c>
      <c r="J136" t="s">
        <v>15</v>
      </c>
      <c r="K136" t="s">
        <v>35</v>
      </c>
      <c r="L136" t="s">
        <v>17</v>
      </c>
      <c r="M136" t="s">
        <v>23</v>
      </c>
      <c r="N136">
        <v>5</v>
      </c>
      <c r="R136" t="s">
        <v>20</v>
      </c>
      <c r="S136" t="s">
        <v>14</v>
      </c>
      <c r="T136">
        <v>224.5</v>
      </c>
      <c r="U136" t="str">
        <f>_xlfn.IFNA(_xlfn.IFS(E136&gt;Dash!$D$46, "Big", E136&lt;Dash!$D$49, "Small", E136&gt;Dash!$D$47, "Good"), "Norm")</f>
        <v>Good</v>
      </c>
      <c r="V136" t="s">
        <v>20</v>
      </c>
      <c r="W136">
        <v>170</v>
      </c>
      <c r="X136" t="s">
        <v>46</v>
      </c>
    </row>
    <row r="137" spans="1:24" x14ac:dyDescent="0.25">
      <c r="A137" s="1">
        <v>45406</v>
      </c>
      <c r="B137" t="s">
        <v>18</v>
      </c>
      <c r="C137" t="s">
        <v>33</v>
      </c>
      <c r="D137" t="s">
        <v>43</v>
      </c>
      <c r="E137">
        <v>228.25</v>
      </c>
      <c r="F137">
        <v>1800</v>
      </c>
      <c r="G137">
        <v>1100</v>
      </c>
      <c r="J137" t="s">
        <v>29</v>
      </c>
      <c r="K137" t="s">
        <v>35</v>
      </c>
      <c r="L137" t="s">
        <v>42</v>
      </c>
      <c r="M137" t="s">
        <v>19</v>
      </c>
      <c r="N137">
        <v>7</v>
      </c>
      <c r="O137" t="s">
        <v>68</v>
      </c>
      <c r="R137" t="s">
        <v>33</v>
      </c>
      <c r="S137" t="s">
        <v>38</v>
      </c>
      <c r="T137">
        <v>296.75</v>
      </c>
      <c r="U137" t="str">
        <f>_xlfn.IFNA(_xlfn.IFS(E137&gt;Dash!$D$46, "Big", E137&lt;Dash!$D$49, "Small", E137&gt;Dash!$D$47, "Good"), "Norm")</f>
        <v>Norm</v>
      </c>
      <c r="V137" t="s">
        <v>13</v>
      </c>
      <c r="W137">
        <v>297.25</v>
      </c>
      <c r="X137" t="s">
        <v>28</v>
      </c>
    </row>
    <row r="138" spans="1:24" x14ac:dyDescent="0.25">
      <c r="A138" s="1">
        <v>45413</v>
      </c>
      <c r="B138" t="s">
        <v>18</v>
      </c>
      <c r="C138" t="s">
        <v>33</v>
      </c>
      <c r="D138" t="s">
        <v>46</v>
      </c>
      <c r="E138">
        <v>394</v>
      </c>
      <c r="F138">
        <v>1800</v>
      </c>
      <c r="G138">
        <v>1800</v>
      </c>
      <c r="J138" t="s">
        <v>37</v>
      </c>
      <c r="K138" t="s">
        <v>17</v>
      </c>
      <c r="L138" t="s">
        <v>32</v>
      </c>
      <c r="M138" t="s">
        <v>19</v>
      </c>
      <c r="N138">
        <v>14</v>
      </c>
      <c r="R138" t="s">
        <v>33</v>
      </c>
      <c r="S138" t="s">
        <v>46</v>
      </c>
      <c r="T138">
        <v>299.25</v>
      </c>
      <c r="U138" t="str">
        <f>_xlfn.IFNA(_xlfn.IFS(E138&gt;Dash!$D$46, "Big", E138&lt;Dash!$D$49, "Small", E138&gt;Dash!$D$47, "Good"), "Norm")</f>
        <v>Good</v>
      </c>
      <c r="V138" t="s">
        <v>13</v>
      </c>
      <c r="W138">
        <v>331.75</v>
      </c>
      <c r="X138" t="s">
        <v>14</v>
      </c>
    </row>
    <row r="139" spans="1:24" x14ac:dyDescent="0.25">
      <c r="A139" s="1">
        <v>45420</v>
      </c>
      <c r="B139" t="s">
        <v>18</v>
      </c>
      <c r="C139" t="s">
        <v>33</v>
      </c>
      <c r="D139" t="s">
        <v>14</v>
      </c>
      <c r="E139">
        <v>169.75</v>
      </c>
      <c r="F139">
        <v>700</v>
      </c>
      <c r="G139">
        <v>900</v>
      </c>
      <c r="J139" t="s">
        <v>15</v>
      </c>
      <c r="K139" t="s">
        <v>25</v>
      </c>
      <c r="L139" t="s">
        <v>35</v>
      </c>
      <c r="M139" t="s">
        <v>36</v>
      </c>
      <c r="N139">
        <v>3</v>
      </c>
      <c r="R139" t="s">
        <v>20</v>
      </c>
      <c r="S139">
        <v>1</v>
      </c>
      <c r="T139">
        <v>130.5</v>
      </c>
      <c r="U139" t="str">
        <f>_xlfn.IFNA(_xlfn.IFS(E139&gt;Dash!$D$46, "Big", E139&lt;Dash!$D$49, "Small", E139&gt;Dash!$D$47, "Good"), "Norm")</f>
        <v>Norm</v>
      </c>
      <c r="V139" t="s">
        <v>20</v>
      </c>
      <c r="W139">
        <v>106.25</v>
      </c>
      <c r="X139" t="s">
        <v>28</v>
      </c>
    </row>
    <row r="140" spans="1:24" x14ac:dyDescent="0.25">
      <c r="A140" s="1">
        <v>45434</v>
      </c>
      <c r="B140" t="s">
        <v>18</v>
      </c>
      <c r="C140" t="s">
        <v>33</v>
      </c>
      <c r="D140" t="s">
        <v>28</v>
      </c>
      <c r="E140">
        <v>154.5</v>
      </c>
      <c r="F140">
        <v>1800</v>
      </c>
      <c r="G140">
        <v>200</v>
      </c>
      <c r="J140" t="s">
        <v>29</v>
      </c>
      <c r="K140" t="s">
        <v>17</v>
      </c>
      <c r="L140" t="s">
        <v>44</v>
      </c>
      <c r="M140" t="s">
        <v>18</v>
      </c>
      <c r="N140">
        <v>5</v>
      </c>
      <c r="O140" t="s">
        <v>66</v>
      </c>
      <c r="R140" t="s">
        <v>33</v>
      </c>
      <c r="S140" t="s">
        <v>48</v>
      </c>
      <c r="T140">
        <v>401.75</v>
      </c>
      <c r="U140" t="str">
        <f>_xlfn.IFNA(_xlfn.IFS(E140&gt;Dash!$D$46, "Big", E140&lt;Dash!$D$49, "Small", E140&gt;Dash!$D$47, "Good"), "Norm")</f>
        <v>Small</v>
      </c>
      <c r="V140" t="s">
        <v>33</v>
      </c>
      <c r="W140">
        <v>130.75</v>
      </c>
      <c r="X140" t="s">
        <v>28</v>
      </c>
    </row>
    <row r="141" spans="1:24" x14ac:dyDescent="0.25">
      <c r="A141" s="1">
        <v>45476</v>
      </c>
      <c r="B141" t="s">
        <v>18</v>
      </c>
      <c r="C141" t="s">
        <v>33</v>
      </c>
      <c r="D141" t="s">
        <v>28</v>
      </c>
      <c r="E141">
        <v>230.25</v>
      </c>
      <c r="F141">
        <v>200</v>
      </c>
      <c r="G141">
        <v>200</v>
      </c>
      <c r="J141" t="s">
        <v>30</v>
      </c>
      <c r="K141" t="s">
        <v>25</v>
      </c>
      <c r="L141" t="s">
        <v>32</v>
      </c>
      <c r="M141" t="s">
        <v>23</v>
      </c>
      <c r="N141">
        <v>10</v>
      </c>
      <c r="R141" t="s">
        <v>13</v>
      </c>
      <c r="S141" t="s">
        <v>28</v>
      </c>
      <c r="T141">
        <v>266.5</v>
      </c>
      <c r="U141" t="str">
        <f>_xlfn.IFNA(_xlfn.IFS(E141&gt;Dash!$D$46, "Big", E141&lt;Dash!$D$49, "Small", E141&gt;Dash!$D$47, "Good"), "Norm")</f>
        <v>Norm</v>
      </c>
      <c r="V141" t="s">
        <v>20</v>
      </c>
      <c r="W141">
        <v>332</v>
      </c>
      <c r="X141" t="s">
        <v>28</v>
      </c>
    </row>
    <row r="142" spans="1:24" x14ac:dyDescent="0.25">
      <c r="A142" s="1">
        <v>45511</v>
      </c>
      <c r="B142" t="s">
        <v>18</v>
      </c>
      <c r="C142" t="s">
        <v>33</v>
      </c>
      <c r="D142" t="s">
        <v>48</v>
      </c>
      <c r="E142">
        <v>606.75</v>
      </c>
      <c r="F142">
        <v>900</v>
      </c>
      <c r="G142">
        <v>1100</v>
      </c>
      <c r="J142" t="s">
        <v>27</v>
      </c>
      <c r="K142" t="s">
        <v>35</v>
      </c>
      <c r="L142" t="s">
        <v>42</v>
      </c>
      <c r="M142" t="s">
        <v>23</v>
      </c>
      <c r="N142">
        <v>2</v>
      </c>
      <c r="R142" t="s">
        <v>13</v>
      </c>
      <c r="S142" t="s">
        <v>38</v>
      </c>
      <c r="T142">
        <v>597.25</v>
      </c>
      <c r="U142" t="str">
        <f>_xlfn.IFNA(_xlfn.IFS(E142&gt;Dash!$D$46, "Big", E142&lt;Dash!$D$49, "Small", E142&gt;Dash!$D$47, "Good"), "Norm")</f>
        <v>Big</v>
      </c>
      <c r="V142" t="s">
        <v>33</v>
      </c>
      <c r="W142">
        <v>517.25</v>
      </c>
      <c r="X142" t="s">
        <v>43</v>
      </c>
    </row>
    <row r="143" spans="1:24" x14ac:dyDescent="0.25">
      <c r="A143" s="1">
        <v>45518</v>
      </c>
      <c r="B143" t="s">
        <v>18</v>
      </c>
      <c r="C143" t="s">
        <v>33</v>
      </c>
      <c r="D143" t="s">
        <v>28</v>
      </c>
      <c r="E143">
        <v>278</v>
      </c>
      <c r="F143">
        <v>1800</v>
      </c>
      <c r="G143">
        <v>1800</v>
      </c>
      <c r="J143" t="s">
        <v>29</v>
      </c>
      <c r="K143" t="s">
        <v>25</v>
      </c>
      <c r="L143" t="s">
        <v>35</v>
      </c>
      <c r="M143" t="s">
        <v>19</v>
      </c>
      <c r="N143">
        <v>8</v>
      </c>
      <c r="R143" t="s">
        <v>13</v>
      </c>
      <c r="S143" t="s">
        <v>28</v>
      </c>
      <c r="T143">
        <v>465</v>
      </c>
      <c r="U143" t="str">
        <f>_xlfn.IFNA(_xlfn.IFS(E143&gt;Dash!$D$46, "Big", E143&lt;Dash!$D$49, "Small", E143&gt;Dash!$D$47, "Good"), "Norm")</f>
        <v>Good</v>
      </c>
      <c r="V143" t="s">
        <v>13</v>
      </c>
      <c r="W143">
        <v>402.5</v>
      </c>
      <c r="X143" t="s">
        <v>28</v>
      </c>
    </row>
    <row r="144" spans="1:24" x14ac:dyDescent="0.25">
      <c r="A144" s="1">
        <v>45525</v>
      </c>
      <c r="B144" t="s">
        <v>18</v>
      </c>
      <c r="C144" t="s">
        <v>33</v>
      </c>
      <c r="D144" t="s">
        <v>28</v>
      </c>
      <c r="E144">
        <v>210.25</v>
      </c>
      <c r="F144">
        <v>1000</v>
      </c>
      <c r="G144">
        <v>1000</v>
      </c>
      <c r="J144" t="s">
        <v>27</v>
      </c>
      <c r="K144" t="s">
        <v>35</v>
      </c>
      <c r="L144" t="s">
        <v>17</v>
      </c>
      <c r="M144" t="s">
        <v>18</v>
      </c>
      <c r="N144">
        <v>6</v>
      </c>
      <c r="R144" t="s">
        <v>33</v>
      </c>
      <c r="S144" t="s">
        <v>48</v>
      </c>
      <c r="T144">
        <v>483.25</v>
      </c>
      <c r="U144" t="str">
        <f>_xlfn.IFNA(_xlfn.IFS(E144&gt;Dash!$D$46, "Big", E144&lt;Dash!$D$49, "Small", E144&gt;Dash!$D$47, "Good"), "Norm")</f>
        <v>Norm</v>
      </c>
      <c r="V144" t="s">
        <v>41</v>
      </c>
      <c r="W144">
        <v>182</v>
      </c>
      <c r="X144" t="s">
        <v>43</v>
      </c>
    </row>
    <row r="145" spans="1:24" x14ac:dyDescent="0.25">
      <c r="A145" s="1">
        <v>45546</v>
      </c>
      <c r="B145" t="s">
        <v>18</v>
      </c>
      <c r="C145" t="s">
        <v>33</v>
      </c>
      <c r="D145" t="s">
        <v>52</v>
      </c>
      <c r="E145">
        <v>746.5</v>
      </c>
      <c r="F145">
        <v>900</v>
      </c>
      <c r="G145">
        <v>900</v>
      </c>
      <c r="H145">
        <v>1000</v>
      </c>
      <c r="I145">
        <v>1000</v>
      </c>
      <c r="J145" t="s">
        <v>27</v>
      </c>
      <c r="K145" t="s">
        <v>25</v>
      </c>
      <c r="L145" t="s">
        <v>32</v>
      </c>
      <c r="M145" t="s">
        <v>18</v>
      </c>
      <c r="N145">
        <v>6</v>
      </c>
      <c r="R145" t="s">
        <v>33</v>
      </c>
      <c r="S145" t="s">
        <v>28</v>
      </c>
      <c r="T145">
        <v>298.5</v>
      </c>
      <c r="U145" t="str">
        <f>_xlfn.IFNA(_xlfn.IFS(E145&gt;Dash!$D$46, "Big", E145&lt;Dash!$D$49, "Small", E145&gt;Dash!$D$47, "Good"), "Norm")</f>
        <v>Big</v>
      </c>
      <c r="V145" t="s">
        <v>20</v>
      </c>
      <c r="W145">
        <v>288.75</v>
      </c>
      <c r="X145" t="s">
        <v>28</v>
      </c>
    </row>
    <row r="146" spans="1:24" x14ac:dyDescent="0.25">
      <c r="A146" s="1">
        <v>45553</v>
      </c>
      <c r="B146" t="s">
        <v>18</v>
      </c>
      <c r="C146" t="s">
        <v>33</v>
      </c>
      <c r="D146" t="s">
        <v>48</v>
      </c>
      <c r="E146">
        <v>342</v>
      </c>
      <c r="F146">
        <v>1400</v>
      </c>
      <c r="G146">
        <v>1500</v>
      </c>
      <c r="J146" t="s">
        <v>49</v>
      </c>
      <c r="K146" t="s">
        <v>32</v>
      </c>
      <c r="L146" t="s">
        <v>17</v>
      </c>
      <c r="M146" t="s">
        <v>19</v>
      </c>
      <c r="N146">
        <v>7</v>
      </c>
      <c r="R146" t="s">
        <v>13</v>
      </c>
      <c r="S146" t="s">
        <v>28</v>
      </c>
      <c r="T146">
        <v>239</v>
      </c>
      <c r="U146" t="str">
        <f>_xlfn.IFNA(_xlfn.IFS(E146&gt;Dash!$D$46, "Big", E146&lt;Dash!$D$49, "Small", E146&gt;Dash!$D$47, "Good"), "Norm")</f>
        <v>Good</v>
      </c>
      <c r="V146" t="s">
        <v>33</v>
      </c>
      <c r="W146">
        <v>275.75</v>
      </c>
      <c r="X146" t="s">
        <v>28</v>
      </c>
    </row>
    <row r="147" spans="1:24" x14ac:dyDescent="0.25">
      <c r="A147" s="1">
        <v>45567</v>
      </c>
      <c r="B147" t="s">
        <v>18</v>
      </c>
      <c r="C147" t="s">
        <v>33</v>
      </c>
      <c r="D147">
        <v>1</v>
      </c>
      <c r="E147">
        <v>256.75</v>
      </c>
      <c r="J147" t="s">
        <v>34</v>
      </c>
      <c r="K147" t="s">
        <v>25</v>
      </c>
      <c r="L147" t="s">
        <v>35</v>
      </c>
      <c r="M147" t="s">
        <v>23</v>
      </c>
      <c r="N147">
        <v>9</v>
      </c>
      <c r="R147" t="s">
        <v>41</v>
      </c>
      <c r="S147" t="s">
        <v>43</v>
      </c>
      <c r="T147">
        <v>234.75</v>
      </c>
      <c r="U147" t="str">
        <f>_xlfn.IFNA(_xlfn.IFS(E147&gt;Dash!$D$46, "Big", E147&lt;Dash!$D$49, "Small", E147&gt;Dash!$D$47, "Good"), "Norm")</f>
        <v>Good</v>
      </c>
      <c r="V147" t="s">
        <v>24</v>
      </c>
      <c r="W147">
        <v>468.5</v>
      </c>
      <c r="X147" t="s">
        <v>48</v>
      </c>
    </row>
    <row r="148" spans="1:24" x14ac:dyDescent="0.25">
      <c r="A148" s="1">
        <v>45609</v>
      </c>
      <c r="B148" t="s">
        <v>18</v>
      </c>
      <c r="C148" t="s">
        <v>33</v>
      </c>
      <c r="D148" t="s">
        <v>43</v>
      </c>
      <c r="E148">
        <v>212</v>
      </c>
      <c r="F148">
        <v>1300</v>
      </c>
      <c r="G148">
        <v>1400</v>
      </c>
      <c r="J148" t="s">
        <v>49</v>
      </c>
      <c r="K148" t="s">
        <v>25</v>
      </c>
      <c r="L148" t="s">
        <v>32</v>
      </c>
      <c r="M148" t="s">
        <v>18</v>
      </c>
      <c r="N148">
        <v>9</v>
      </c>
      <c r="R148" t="s">
        <v>20</v>
      </c>
      <c r="S148" t="s">
        <v>48</v>
      </c>
      <c r="T148">
        <v>205.5</v>
      </c>
      <c r="U148" t="str">
        <f>_xlfn.IFNA(_xlfn.IFS(E148&gt;Dash!$D$46, "Big", E148&lt;Dash!$D$49, "Small", E148&gt;Dash!$D$47, "Good"), "Norm")</f>
        <v>Norm</v>
      </c>
      <c r="V148" t="s">
        <v>33</v>
      </c>
      <c r="W148">
        <v>197</v>
      </c>
      <c r="X148" t="s">
        <v>14</v>
      </c>
    </row>
  </sheetData>
  <sortState xmlns:xlrd2="http://schemas.microsoft.com/office/spreadsheetml/2017/richdata2" ref="A4:X148">
    <sortCondition ref="B4:B148"/>
  </sortState>
  <conditionalFormatting sqref="C1:C1048576 R4:R1044">
    <cfRule type="containsText" dxfId="222" priority="19" operator="containsText" text="NY Z Day">
      <formula>NOT(ISERROR(SEARCH("NY Z Day",C1)))</formula>
    </cfRule>
    <cfRule type="containsText" dxfId="221" priority="20" operator="containsText" text="Lon Pivot">
      <formula>NOT(ISERROR(SEARCH("Lon Pivot",C1)))</formula>
    </cfRule>
    <cfRule type="containsText" dxfId="220" priority="21" operator="containsText" text="Screamer">
      <formula>NOT(ISERROR(SEARCH("Screamer",C1)))</formula>
    </cfRule>
    <cfRule type="containsText" dxfId="219" priority="22" operator="containsText" text="Lon Wall">
      <formula>NOT(ISERROR(SEARCH("Lon Wall",C1)))</formula>
    </cfRule>
    <cfRule type="containsText" dxfId="218" priority="23" operator="containsText" text="Asia Wall">
      <formula>NOT(ISERROR(SEARCH("Asia Wall",C1)))</formula>
    </cfRule>
  </conditionalFormatting>
  <conditionalFormatting sqref="M1:O1048576 B4:B816">
    <cfRule type="containsText" dxfId="217" priority="14" operator="containsText" text="Friday">
      <formula>NOT(ISERROR(SEARCH("Friday",B1)))</formula>
    </cfRule>
    <cfRule type="containsText" dxfId="216" priority="15" operator="containsText" text="Thursday">
      <formula>NOT(ISERROR(SEARCH("Thursday",B1)))</formula>
    </cfRule>
    <cfRule type="containsText" dxfId="215" priority="16" operator="containsText" text="Wednesday">
      <formula>NOT(ISERROR(SEARCH("Wednesday",B1)))</formula>
    </cfRule>
    <cfRule type="containsText" dxfId="214" priority="17" operator="containsText" text="Tuesday">
      <formula>NOT(ISERROR(SEARCH("Tuesday",B1)))</formula>
    </cfRule>
    <cfRule type="containsText" dxfId="213" priority="18" operator="containsText" text="Monday">
      <formula>NOT(ISERROR(SEARCH("Monday",B1)))</formula>
    </cfRule>
  </conditionalFormatting>
  <conditionalFormatting sqref="P1:Q2 J1:L1048576">
    <cfRule type="containsText" dxfId="212" priority="24" operator="containsText" text="NYAH">
      <formula>NOT(ISERROR(SEARCH("NYAH",J1)))</formula>
    </cfRule>
    <cfRule type="containsText" dxfId="211" priority="25" operator="containsText" text="NYA">
      <formula>NOT(ISERROR(SEARCH("NYA",J1)))</formula>
    </cfRule>
    <cfRule type="containsText" dxfId="210" priority="26" operator="containsText" text="NYO">
      <formula>NOT(ISERROR(SEARCH("NYO",J1)))</formula>
    </cfRule>
    <cfRule type="containsText" dxfId="209" priority="27" operator="containsText" text="Inside">
      <formula>NOT(ISERROR(SEARCH("Inside",J1)))</formula>
    </cfRule>
    <cfRule type="containsText" dxfId="208" priority="28" operator="containsText" text="Asia">
      <formula>NOT(ISERROR(SEARCH("Asia",J1)))</formula>
    </cfRule>
    <cfRule type="containsText" dxfId="207" priority="29" operator="containsText" text="Lon">
      <formula>NOT(ISERROR(SEARCH("Lon",J1)))</formula>
    </cfRule>
  </conditionalFormatting>
  <conditionalFormatting sqref="R1:R2">
    <cfRule type="containsText" dxfId="206" priority="9" operator="containsText" text="Friday">
      <formula>NOT(ISERROR(SEARCH("Friday",R1)))</formula>
    </cfRule>
    <cfRule type="containsText" dxfId="205" priority="10" operator="containsText" text="Thursday">
      <formula>NOT(ISERROR(SEARCH("Thursday",R1)))</formula>
    </cfRule>
    <cfRule type="containsText" dxfId="204" priority="11" operator="containsText" text="Wednesday">
      <formula>NOT(ISERROR(SEARCH("Wednesday",R1)))</formula>
    </cfRule>
    <cfRule type="containsText" dxfId="203" priority="12" operator="containsText" text="Tuesday">
      <formula>NOT(ISERROR(SEARCH("Tuesday",R1)))</formula>
    </cfRule>
    <cfRule type="containsText" dxfId="202" priority="13" operator="containsText" text="Monday">
      <formula>NOT(ISERROR(SEARCH("Monday",R1)))</formula>
    </cfRule>
  </conditionalFormatting>
  <conditionalFormatting sqref="U4:U148">
    <cfRule type="cellIs" dxfId="201" priority="1" operator="equal">
      <formula>"Good"</formula>
    </cfRule>
  </conditionalFormatting>
  <conditionalFormatting sqref="U4:U1048576">
    <cfRule type="cellIs" dxfId="200" priority="2" operator="equal">
      <formula>"Big"</formula>
    </cfRule>
    <cfRule type="cellIs" dxfId="199" priority="3" operator="equal">
      <formula>"Small"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E1D82-7F38-40D6-A6A8-B7CD7E31AED8}">
  <dimension ref="A1:X61"/>
  <sheetViews>
    <sheetView workbookViewId="0">
      <selection activeCell="B20" sqref="B20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45191</v>
      </c>
      <c r="B4" t="s">
        <v>26</v>
      </c>
      <c r="C4" t="s">
        <v>24</v>
      </c>
      <c r="D4" t="s">
        <v>46</v>
      </c>
      <c r="E4">
        <v>175</v>
      </c>
      <c r="F4">
        <v>2000</v>
      </c>
      <c r="G4">
        <v>2000</v>
      </c>
      <c r="J4" t="s">
        <v>37</v>
      </c>
      <c r="K4" t="s">
        <v>31</v>
      </c>
      <c r="L4" t="s">
        <v>35</v>
      </c>
      <c r="M4" t="s">
        <v>18</v>
      </c>
      <c r="N4">
        <v>7</v>
      </c>
      <c r="P4">
        <v>1500</v>
      </c>
      <c r="Q4">
        <v>1500</v>
      </c>
      <c r="R4" t="s">
        <v>33</v>
      </c>
      <c r="S4" t="s">
        <v>46</v>
      </c>
      <c r="T4">
        <v>157</v>
      </c>
      <c r="U4" t="str">
        <f>_xlfn.IFNA(_xlfn.IFS(E4&gt;Dash!$D$46, "Big", E4&lt;Dash!$D$49, "Small", E4&gt;Dash!$D$47, "Good"), "Norm")</f>
        <v>Norm</v>
      </c>
      <c r="V4" t="s">
        <v>13</v>
      </c>
      <c r="W4">
        <v>161</v>
      </c>
      <c r="X4" t="s">
        <v>14</v>
      </c>
    </row>
    <row r="5" spans="1:24" x14ac:dyDescent="0.25">
      <c r="A5" s="1">
        <v>45254</v>
      </c>
      <c r="B5" t="s">
        <v>26</v>
      </c>
      <c r="C5" t="s">
        <v>24</v>
      </c>
      <c r="D5">
        <v>1</v>
      </c>
      <c r="E5">
        <v>87.5</v>
      </c>
      <c r="J5" t="s">
        <v>34</v>
      </c>
      <c r="K5" t="s">
        <v>16</v>
      </c>
      <c r="L5" t="s">
        <v>25</v>
      </c>
      <c r="M5" t="s">
        <v>19</v>
      </c>
      <c r="N5">
        <v>5</v>
      </c>
      <c r="P5">
        <v>1000</v>
      </c>
      <c r="Q5">
        <v>1300</v>
      </c>
      <c r="R5" t="s">
        <v>13</v>
      </c>
      <c r="S5" t="s">
        <v>52</v>
      </c>
      <c r="T5">
        <v>119</v>
      </c>
      <c r="U5" t="str">
        <f>_xlfn.IFNA(_xlfn.IFS(E5&gt;Dash!$D$46, "Big", E5&lt;Dash!$D$49, "Small", E5&gt;Dash!$D$47, "Good"), "Norm")</f>
        <v>Small</v>
      </c>
      <c r="V5" t="s">
        <v>41</v>
      </c>
      <c r="W5">
        <v>168</v>
      </c>
      <c r="X5" t="s">
        <v>28</v>
      </c>
    </row>
    <row r="6" spans="1:24" x14ac:dyDescent="0.25">
      <c r="A6" s="1">
        <v>45275</v>
      </c>
      <c r="B6" t="s">
        <v>26</v>
      </c>
      <c r="C6" t="s">
        <v>24</v>
      </c>
      <c r="D6" t="s">
        <v>28</v>
      </c>
      <c r="E6">
        <v>130.5</v>
      </c>
      <c r="F6">
        <v>1100</v>
      </c>
      <c r="G6">
        <v>1100</v>
      </c>
      <c r="J6" t="s">
        <v>27</v>
      </c>
      <c r="K6" t="s">
        <v>31</v>
      </c>
      <c r="L6" t="s">
        <v>35</v>
      </c>
      <c r="M6" t="s">
        <v>19</v>
      </c>
      <c r="N6">
        <v>15</v>
      </c>
      <c r="P6">
        <v>1300</v>
      </c>
      <c r="Q6">
        <v>1500</v>
      </c>
      <c r="R6" t="s">
        <v>13</v>
      </c>
      <c r="S6" t="s">
        <v>28</v>
      </c>
      <c r="T6">
        <v>144</v>
      </c>
      <c r="U6" t="str">
        <f>_xlfn.IFNA(_xlfn.IFS(E6&gt;Dash!$D$46, "Big", E6&lt;Dash!$D$49, "Small", E6&gt;Dash!$D$47, "Good"), "Norm")</f>
        <v>Small</v>
      </c>
      <c r="V6" t="s">
        <v>13</v>
      </c>
      <c r="W6">
        <v>249.25</v>
      </c>
      <c r="X6" t="s">
        <v>43</v>
      </c>
    </row>
    <row r="7" spans="1:24" x14ac:dyDescent="0.25">
      <c r="A7" s="1">
        <v>45282</v>
      </c>
      <c r="B7" t="s">
        <v>26</v>
      </c>
      <c r="C7" t="s">
        <v>24</v>
      </c>
      <c r="D7" t="s">
        <v>43</v>
      </c>
      <c r="E7">
        <v>145.5</v>
      </c>
      <c r="F7">
        <v>800</v>
      </c>
      <c r="G7">
        <v>1600</v>
      </c>
      <c r="J7" t="s">
        <v>27</v>
      </c>
      <c r="K7" t="s">
        <v>31</v>
      </c>
      <c r="L7" t="s">
        <v>35</v>
      </c>
      <c r="M7" t="s">
        <v>18</v>
      </c>
      <c r="N7">
        <v>5</v>
      </c>
      <c r="O7" t="s">
        <v>67</v>
      </c>
      <c r="P7">
        <v>1300</v>
      </c>
      <c r="Q7">
        <v>1400</v>
      </c>
      <c r="R7" t="s">
        <v>13</v>
      </c>
      <c r="S7" t="s">
        <v>28</v>
      </c>
      <c r="T7">
        <v>114.25</v>
      </c>
      <c r="U7" t="str">
        <f>_xlfn.IFNA(_xlfn.IFS(E7&gt;Dash!$D$46, "Big", E7&lt;Dash!$D$49, "Small", E7&gt;Dash!$D$47, "Good"), "Norm")</f>
        <v>Small</v>
      </c>
      <c r="V7" t="s">
        <v>24</v>
      </c>
      <c r="W7">
        <v>155.25</v>
      </c>
      <c r="X7">
        <v>1</v>
      </c>
    </row>
    <row r="8" spans="1:24" x14ac:dyDescent="0.25">
      <c r="A8" s="1">
        <v>45506</v>
      </c>
      <c r="B8" t="s">
        <v>26</v>
      </c>
      <c r="C8" t="s">
        <v>24</v>
      </c>
      <c r="D8" t="s">
        <v>14</v>
      </c>
      <c r="E8">
        <v>375.75</v>
      </c>
      <c r="F8">
        <v>1800</v>
      </c>
      <c r="G8">
        <v>1800</v>
      </c>
      <c r="J8" t="s">
        <v>37</v>
      </c>
      <c r="K8" t="s">
        <v>16</v>
      </c>
      <c r="L8" t="s">
        <v>25</v>
      </c>
      <c r="M8" t="s">
        <v>19</v>
      </c>
      <c r="N8">
        <v>13</v>
      </c>
      <c r="R8">
        <v>0</v>
      </c>
      <c r="S8" t="s">
        <v>47</v>
      </c>
      <c r="T8">
        <v>926.5</v>
      </c>
      <c r="U8" t="str">
        <f>_xlfn.IFNA(_xlfn.IFS(E8&gt;Dash!$D$46, "Big", E8&lt;Dash!$D$49, "Small", E8&gt;Dash!$D$47, "Good"), "Norm")</f>
        <v>Good</v>
      </c>
      <c r="V8" t="s">
        <v>13</v>
      </c>
      <c r="W8">
        <v>813.75</v>
      </c>
      <c r="X8" t="s">
        <v>48</v>
      </c>
    </row>
    <row r="9" spans="1:24" x14ac:dyDescent="0.25">
      <c r="A9" s="1">
        <v>45569</v>
      </c>
      <c r="B9" t="s">
        <v>26</v>
      </c>
      <c r="C9" t="s">
        <v>24</v>
      </c>
      <c r="D9" t="s">
        <v>28</v>
      </c>
      <c r="E9">
        <v>250.5</v>
      </c>
      <c r="F9">
        <v>800</v>
      </c>
      <c r="G9">
        <v>900</v>
      </c>
      <c r="J9" t="s">
        <v>27</v>
      </c>
      <c r="K9" t="s">
        <v>31</v>
      </c>
      <c r="L9" t="s">
        <v>35</v>
      </c>
      <c r="M9" t="s">
        <v>23</v>
      </c>
      <c r="N9">
        <v>9</v>
      </c>
      <c r="R9" t="s">
        <v>13</v>
      </c>
      <c r="S9" t="s">
        <v>43</v>
      </c>
      <c r="T9">
        <v>239.25</v>
      </c>
      <c r="U9" t="str">
        <f>_xlfn.IFNA(_xlfn.IFS(E9&gt;Dash!$D$46, "Big", E9&lt;Dash!$D$49, "Small", E9&gt;Dash!$D$47, "Good"), "Norm")</f>
        <v>Norm</v>
      </c>
      <c r="V9" t="s">
        <v>41</v>
      </c>
      <c r="W9">
        <v>234.75</v>
      </c>
      <c r="X9" t="s">
        <v>43</v>
      </c>
    </row>
    <row r="10" spans="1:24" x14ac:dyDescent="0.25">
      <c r="A10" s="1">
        <v>45583</v>
      </c>
      <c r="B10" t="s">
        <v>26</v>
      </c>
      <c r="C10" t="s">
        <v>24</v>
      </c>
      <c r="D10">
        <v>1</v>
      </c>
      <c r="E10">
        <v>96.75</v>
      </c>
      <c r="J10" t="s">
        <v>34</v>
      </c>
      <c r="K10" t="s">
        <v>31</v>
      </c>
      <c r="L10" t="s">
        <v>35</v>
      </c>
      <c r="M10" t="s">
        <v>36</v>
      </c>
      <c r="N10">
        <v>3</v>
      </c>
      <c r="R10" t="s">
        <v>41</v>
      </c>
      <c r="S10" t="s">
        <v>28</v>
      </c>
      <c r="T10">
        <v>209.5</v>
      </c>
      <c r="U10" t="str">
        <f>_xlfn.IFNA(_xlfn.IFS(E10&gt;Dash!$D$46, "Big", E10&lt;Dash!$D$49, "Small", E10&gt;Dash!$D$47, "Good"), "Norm")</f>
        <v>Small</v>
      </c>
      <c r="V10" t="s">
        <v>24</v>
      </c>
      <c r="W10">
        <v>241</v>
      </c>
      <c r="X10" t="s">
        <v>28</v>
      </c>
    </row>
    <row r="11" spans="1:24" x14ac:dyDescent="0.25">
      <c r="A11" s="1">
        <v>45590</v>
      </c>
      <c r="B11" t="s">
        <v>26</v>
      </c>
      <c r="C11" t="s">
        <v>24</v>
      </c>
      <c r="D11" t="s">
        <v>28</v>
      </c>
      <c r="E11">
        <v>264.25</v>
      </c>
      <c r="F11">
        <v>300</v>
      </c>
      <c r="G11">
        <v>400</v>
      </c>
      <c r="J11" t="s">
        <v>30</v>
      </c>
      <c r="K11" t="s">
        <v>31</v>
      </c>
      <c r="L11" t="s">
        <v>35</v>
      </c>
      <c r="M11" t="s">
        <v>36</v>
      </c>
      <c r="N11">
        <v>3</v>
      </c>
      <c r="R11" t="s">
        <v>20</v>
      </c>
      <c r="S11">
        <v>1</v>
      </c>
      <c r="T11">
        <v>179.75</v>
      </c>
      <c r="U11" t="str">
        <f>_xlfn.IFNA(_xlfn.IFS(E11&gt;Dash!$D$46, "Big", E11&lt;Dash!$D$49, "Small", E11&gt;Dash!$D$47, "Good"), "Norm")</f>
        <v>Good</v>
      </c>
      <c r="V11" t="s">
        <v>33</v>
      </c>
      <c r="W11">
        <v>166.75</v>
      </c>
      <c r="X11">
        <v>1</v>
      </c>
    </row>
    <row r="12" spans="1:24" x14ac:dyDescent="0.25">
      <c r="A12" s="1">
        <v>45597</v>
      </c>
      <c r="B12" t="s">
        <v>26</v>
      </c>
      <c r="C12" t="s">
        <v>24</v>
      </c>
      <c r="D12">
        <v>1</v>
      </c>
      <c r="E12">
        <v>230.5</v>
      </c>
      <c r="J12" t="s">
        <v>34</v>
      </c>
      <c r="K12" t="s">
        <v>31</v>
      </c>
      <c r="L12" t="s">
        <v>35</v>
      </c>
      <c r="M12" t="s">
        <v>19</v>
      </c>
      <c r="N12">
        <v>11</v>
      </c>
      <c r="R12" t="s">
        <v>24</v>
      </c>
      <c r="S12" t="s">
        <v>14</v>
      </c>
      <c r="T12">
        <v>213.75</v>
      </c>
      <c r="U12" t="str">
        <f>_xlfn.IFNA(_xlfn.IFS(E12&gt;Dash!$D$46, "Big", E12&lt;Dash!$D$49, "Small", E12&gt;Dash!$D$47, "Good"), "Norm")</f>
        <v>Norm</v>
      </c>
      <c r="V12" t="s">
        <v>13</v>
      </c>
      <c r="W12">
        <v>407.75</v>
      </c>
      <c r="X12" t="s">
        <v>14</v>
      </c>
    </row>
    <row r="13" spans="1:24" x14ac:dyDescent="0.25">
      <c r="A13" s="1">
        <v>45177</v>
      </c>
      <c r="B13" t="s">
        <v>26</v>
      </c>
      <c r="C13" t="s">
        <v>41</v>
      </c>
      <c r="D13">
        <v>1</v>
      </c>
      <c r="E13">
        <v>149.75</v>
      </c>
      <c r="J13" t="s">
        <v>34</v>
      </c>
      <c r="K13" t="s">
        <v>39</v>
      </c>
      <c r="L13" t="s">
        <v>35</v>
      </c>
      <c r="M13" t="s">
        <v>18</v>
      </c>
      <c r="N13">
        <v>2</v>
      </c>
      <c r="P13">
        <v>1400</v>
      </c>
      <c r="Q13">
        <v>1500</v>
      </c>
      <c r="R13" t="s">
        <v>13</v>
      </c>
      <c r="S13" t="s">
        <v>28</v>
      </c>
      <c r="T13">
        <v>158.5</v>
      </c>
      <c r="U13" t="str">
        <f>_xlfn.IFNA(_xlfn.IFS(E13&gt;Dash!$D$46, "Big", E13&lt;Dash!$D$49, "Small", E13&gt;Dash!$D$47, "Good"), "Norm")</f>
        <v>Small</v>
      </c>
      <c r="V13" t="s">
        <v>24</v>
      </c>
      <c r="W13">
        <v>154.25</v>
      </c>
      <c r="X13" t="s">
        <v>14</v>
      </c>
    </row>
    <row r="14" spans="1:24" x14ac:dyDescent="0.25">
      <c r="A14" s="1">
        <v>45289</v>
      </c>
      <c r="B14" t="s">
        <v>26</v>
      </c>
      <c r="C14" t="s">
        <v>41</v>
      </c>
      <c r="D14" t="s">
        <v>43</v>
      </c>
      <c r="E14">
        <v>169.25</v>
      </c>
      <c r="F14">
        <v>700</v>
      </c>
      <c r="G14">
        <v>700</v>
      </c>
      <c r="J14" t="s">
        <v>45</v>
      </c>
      <c r="K14" t="s">
        <v>22</v>
      </c>
      <c r="L14" t="s">
        <v>25</v>
      </c>
      <c r="M14" t="s">
        <v>58</v>
      </c>
      <c r="N14">
        <v>0</v>
      </c>
      <c r="P14">
        <v>1500</v>
      </c>
      <c r="Q14">
        <v>1500</v>
      </c>
      <c r="R14" t="s">
        <v>13</v>
      </c>
      <c r="S14" t="s">
        <v>14</v>
      </c>
      <c r="T14">
        <v>255.25</v>
      </c>
      <c r="U14" t="str">
        <f>_xlfn.IFNA(_xlfn.IFS(E14&gt;Dash!$D$46, "Big", E14&lt;Dash!$D$49, "Small", E14&gt;Dash!$D$47, "Good"), "Norm")</f>
        <v>Norm</v>
      </c>
      <c r="V14" t="s">
        <v>33</v>
      </c>
      <c r="W14">
        <v>87.5</v>
      </c>
      <c r="X14" t="s">
        <v>43</v>
      </c>
    </row>
    <row r="15" spans="1:24" x14ac:dyDescent="0.25">
      <c r="A15" s="1">
        <v>45303</v>
      </c>
      <c r="B15" t="s">
        <v>26</v>
      </c>
      <c r="C15" t="s">
        <v>41</v>
      </c>
      <c r="D15">
        <v>1</v>
      </c>
      <c r="E15">
        <v>147.25</v>
      </c>
      <c r="J15" t="s">
        <v>34</v>
      </c>
      <c r="K15" t="s">
        <v>39</v>
      </c>
      <c r="L15" t="s">
        <v>35</v>
      </c>
      <c r="M15" t="s">
        <v>36</v>
      </c>
      <c r="N15">
        <v>6</v>
      </c>
      <c r="R15" t="s">
        <v>41</v>
      </c>
      <c r="S15" t="s">
        <v>46</v>
      </c>
      <c r="T15">
        <v>178.75</v>
      </c>
      <c r="U15" t="str">
        <f>_xlfn.IFNA(_xlfn.IFS(E15&gt;Dash!$D$46, "Big", E15&lt;Dash!$D$49, "Small", E15&gt;Dash!$D$47, "Good"), "Norm")</f>
        <v>Small</v>
      </c>
      <c r="V15" t="s">
        <v>33</v>
      </c>
      <c r="W15">
        <v>304</v>
      </c>
      <c r="X15" t="s">
        <v>38</v>
      </c>
    </row>
    <row r="16" spans="1:24" x14ac:dyDescent="0.25">
      <c r="A16" s="1">
        <v>45338</v>
      </c>
      <c r="B16" t="s">
        <v>26</v>
      </c>
      <c r="C16" t="s">
        <v>41</v>
      </c>
      <c r="D16" t="s">
        <v>48</v>
      </c>
      <c r="E16">
        <v>292.75</v>
      </c>
      <c r="F16">
        <v>200</v>
      </c>
      <c r="G16">
        <v>800</v>
      </c>
      <c r="H16">
        <v>900</v>
      </c>
      <c r="I16">
        <v>1000</v>
      </c>
      <c r="J16" t="s">
        <v>30</v>
      </c>
      <c r="K16" t="s">
        <v>22</v>
      </c>
      <c r="L16" t="s">
        <v>25</v>
      </c>
      <c r="M16" t="s">
        <v>19</v>
      </c>
      <c r="N16">
        <v>10</v>
      </c>
      <c r="O16" t="s">
        <v>61</v>
      </c>
      <c r="R16" t="s">
        <v>13</v>
      </c>
      <c r="S16" t="s">
        <v>14</v>
      </c>
      <c r="T16">
        <v>271.5</v>
      </c>
      <c r="U16" t="str">
        <f>_xlfn.IFNA(_xlfn.IFS(E16&gt;Dash!$D$46, "Big", E16&lt;Dash!$D$49, "Small", E16&gt;Dash!$D$47, "Good"), "Norm")</f>
        <v>Good</v>
      </c>
      <c r="V16" t="s">
        <v>33</v>
      </c>
      <c r="W16">
        <v>153</v>
      </c>
      <c r="X16" t="s">
        <v>28</v>
      </c>
    </row>
    <row r="17" spans="1:24" x14ac:dyDescent="0.25">
      <c r="A17" s="1">
        <v>45415</v>
      </c>
      <c r="B17" t="s">
        <v>26</v>
      </c>
      <c r="C17" t="s">
        <v>41</v>
      </c>
      <c r="D17" t="s">
        <v>28</v>
      </c>
      <c r="E17">
        <v>307</v>
      </c>
      <c r="F17">
        <v>1800</v>
      </c>
      <c r="G17">
        <v>1800</v>
      </c>
      <c r="J17" t="s">
        <v>29</v>
      </c>
      <c r="K17" t="s">
        <v>39</v>
      </c>
      <c r="L17" t="s">
        <v>35</v>
      </c>
      <c r="M17" t="s">
        <v>19</v>
      </c>
      <c r="N17">
        <v>14</v>
      </c>
      <c r="R17" t="s">
        <v>13</v>
      </c>
      <c r="S17" t="s">
        <v>28</v>
      </c>
      <c r="T17">
        <v>160.75</v>
      </c>
      <c r="U17" t="str">
        <f>_xlfn.IFNA(_xlfn.IFS(E17&gt;Dash!$D$46, "Big", E17&lt;Dash!$D$49, "Small", E17&gt;Dash!$D$47, "Good"), "Norm")</f>
        <v>Good</v>
      </c>
      <c r="V17" t="s">
        <v>33</v>
      </c>
      <c r="W17">
        <v>299.25</v>
      </c>
      <c r="X17" t="s">
        <v>46</v>
      </c>
    </row>
    <row r="18" spans="1:24" x14ac:dyDescent="0.25">
      <c r="A18" s="1">
        <v>45464</v>
      </c>
      <c r="B18" t="s">
        <v>26</v>
      </c>
      <c r="C18" t="s">
        <v>41</v>
      </c>
      <c r="D18" t="s">
        <v>46</v>
      </c>
      <c r="E18">
        <v>158.5</v>
      </c>
      <c r="F18">
        <v>400</v>
      </c>
      <c r="G18">
        <v>400</v>
      </c>
      <c r="J18" t="s">
        <v>15</v>
      </c>
      <c r="K18" t="s">
        <v>22</v>
      </c>
      <c r="L18" t="s">
        <v>25</v>
      </c>
      <c r="M18" t="s">
        <v>19</v>
      </c>
      <c r="N18">
        <v>7</v>
      </c>
      <c r="O18" t="s">
        <v>67</v>
      </c>
      <c r="R18" t="s">
        <v>13</v>
      </c>
      <c r="S18" t="s">
        <v>14</v>
      </c>
      <c r="T18">
        <v>255</v>
      </c>
      <c r="U18" t="str">
        <f>_xlfn.IFNA(_xlfn.IFS(E18&gt;Dash!$D$46, "Big", E18&lt;Dash!$D$49, "Small", E18&gt;Dash!$D$47, "Good"), "Norm")</f>
        <v>Norm</v>
      </c>
      <c r="V18" t="s">
        <v>20</v>
      </c>
      <c r="W18">
        <v>347.5</v>
      </c>
      <c r="X18" t="s">
        <v>48</v>
      </c>
    </row>
    <row r="19" spans="1:24" x14ac:dyDescent="0.25">
      <c r="A19" s="1">
        <v>45520</v>
      </c>
      <c r="B19" t="s">
        <v>26</v>
      </c>
      <c r="C19" t="s">
        <v>41</v>
      </c>
      <c r="D19" t="s">
        <v>28</v>
      </c>
      <c r="E19">
        <v>213.25</v>
      </c>
      <c r="F19">
        <v>1800</v>
      </c>
      <c r="G19">
        <v>1800</v>
      </c>
      <c r="J19" t="s">
        <v>29</v>
      </c>
      <c r="K19" t="s">
        <v>22</v>
      </c>
      <c r="L19" t="s">
        <v>25</v>
      </c>
      <c r="M19" t="s">
        <v>19</v>
      </c>
      <c r="N19">
        <v>8</v>
      </c>
      <c r="O19" t="s">
        <v>61</v>
      </c>
      <c r="R19" t="s">
        <v>20</v>
      </c>
      <c r="S19" t="s">
        <v>28</v>
      </c>
      <c r="T19">
        <v>332.25</v>
      </c>
      <c r="U19" t="str">
        <f>_xlfn.IFNA(_xlfn.IFS(E19&gt;Dash!$D$46, "Big", E19&lt;Dash!$D$49, "Small", E19&gt;Dash!$D$47, "Good"), "Norm")</f>
        <v>Norm</v>
      </c>
      <c r="V19" t="s">
        <v>13</v>
      </c>
      <c r="W19">
        <v>465</v>
      </c>
      <c r="X19" t="s">
        <v>28</v>
      </c>
    </row>
    <row r="20" spans="1:24" x14ac:dyDescent="0.25">
      <c r="A20" s="1">
        <v>45639</v>
      </c>
      <c r="B20" t="s">
        <v>26</v>
      </c>
      <c r="C20" t="s">
        <v>41</v>
      </c>
      <c r="D20" t="s">
        <v>40</v>
      </c>
      <c r="E20">
        <v>241.5</v>
      </c>
      <c r="F20">
        <v>400</v>
      </c>
      <c r="J20" t="s">
        <v>30</v>
      </c>
      <c r="K20" t="s">
        <v>35</v>
      </c>
      <c r="L20" t="s">
        <v>25</v>
      </c>
      <c r="M20" t="s">
        <v>18</v>
      </c>
      <c r="N20">
        <v>6</v>
      </c>
      <c r="R20" t="s">
        <v>13</v>
      </c>
      <c r="S20" t="s">
        <v>40</v>
      </c>
      <c r="T20">
        <v>284</v>
      </c>
      <c r="U20" t="str">
        <f>_xlfn.IFNA(_xlfn.IFS(E20&gt;Dash!$D$46, "Big", E20&lt;Dash!$D$49, "Small", E20&gt;Dash!$D$47, "Good"), "Norm")</f>
        <v>Norm</v>
      </c>
      <c r="V20" t="s">
        <v>13</v>
      </c>
      <c r="W20">
        <v>120.25</v>
      </c>
      <c r="X20">
        <v>1</v>
      </c>
    </row>
    <row r="21" spans="1:24" x14ac:dyDescent="0.25">
      <c r="A21" s="1">
        <v>45229</v>
      </c>
      <c r="B21" t="s">
        <v>23</v>
      </c>
      <c r="C21" t="s">
        <v>24</v>
      </c>
      <c r="D21" t="s">
        <v>28</v>
      </c>
      <c r="E21">
        <v>170.25</v>
      </c>
      <c r="F21">
        <v>900</v>
      </c>
      <c r="G21">
        <v>1000</v>
      </c>
      <c r="J21" t="s">
        <v>27</v>
      </c>
      <c r="K21" t="s">
        <v>31</v>
      </c>
      <c r="L21" t="s">
        <v>35</v>
      </c>
      <c r="M21" t="s">
        <v>19</v>
      </c>
      <c r="N21">
        <v>13</v>
      </c>
      <c r="P21">
        <v>1200</v>
      </c>
      <c r="Q21">
        <v>1500</v>
      </c>
      <c r="R21" t="s">
        <v>33</v>
      </c>
      <c r="S21" t="s">
        <v>28</v>
      </c>
      <c r="T21">
        <v>192.5</v>
      </c>
      <c r="U21" t="str">
        <f>_xlfn.IFNA(_xlfn.IFS(E21&gt;Dash!$D$46, "Big", E21&lt;Dash!$D$49, "Small", E21&gt;Dash!$D$47, "Good"), "Norm")</f>
        <v>Norm</v>
      </c>
      <c r="V21" t="s">
        <v>33</v>
      </c>
      <c r="W21">
        <v>198</v>
      </c>
      <c r="X21">
        <v>1</v>
      </c>
    </row>
    <row r="22" spans="1:24" x14ac:dyDescent="0.25">
      <c r="A22" s="1">
        <v>45243</v>
      </c>
      <c r="B22" t="s">
        <v>23</v>
      </c>
      <c r="C22" t="s">
        <v>24</v>
      </c>
      <c r="D22">
        <v>1</v>
      </c>
      <c r="E22">
        <v>124.25</v>
      </c>
      <c r="J22" t="s">
        <v>34</v>
      </c>
      <c r="K22" t="s">
        <v>16</v>
      </c>
      <c r="L22" t="s">
        <v>25</v>
      </c>
      <c r="M22" t="s">
        <v>19</v>
      </c>
      <c r="N22">
        <v>9</v>
      </c>
      <c r="P22">
        <v>1400</v>
      </c>
      <c r="Q22">
        <v>1500</v>
      </c>
      <c r="R22" t="s">
        <v>13</v>
      </c>
      <c r="S22" t="s">
        <v>28</v>
      </c>
      <c r="T22">
        <v>366.75</v>
      </c>
      <c r="U22" t="str">
        <f>_xlfn.IFNA(_xlfn.IFS(E22&gt;Dash!$D$46, "Big", E22&lt;Dash!$D$49, "Small", E22&gt;Dash!$D$47, "Good"), "Norm")</f>
        <v>Small</v>
      </c>
      <c r="V22" t="s">
        <v>20</v>
      </c>
      <c r="W22">
        <v>339.25</v>
      </c>
      <c r="X22" t="s">
        <v>38</v>
      </c>
    </row>
    <row r="23" spans="1:24" x14ac:dyDescent="0.25">
      <c r="A23" s="1">
        <v>45348</v>
      </c>
      <c r="B23" t="s">
        <v>23</v>
      </c>
      <c r="C23" t="s">
        <v>24</v>
      </c>
      <c r="D23" t="s">
        <v>14</v>
      </c>
      <c r="E23">
        <v>93.5</v>
      </c>
      <c r="F23">
        <v>1800</v>
      </c>
      <c r="G23">
        <v>1800</v>
      </c>
      <c r="J23" t="s">
        <v>37</v>
      </c>
      <c r="K23" t="s">
        <v>31</v>
      </c>
      <c r="L23" t="s">
        <v>35</v>
      </c>
      <c r="M23" t="s">
        <v>18</v>
      </c>
      <c r="N23">
        <v>7</v>
      </c>
      <c r="R23" t="s">
        <v>20</v>
      </c>
      <c r="S23" t="s">
        <v>46</v>
      </c>
      <c r="T23">
        <v>125</v>
      </c>
      <c r="U23" t="str">
        <f>_xlfn.IFNA(_xlfn.IFS(E23&gt;Dash!$D$46, "Big", E23&lt;Dash!$D$49, "Small", E23&gt;Dash!$D$47, "Good"), "Norm")</f>
        <v>Small</v>
      </c>
      <c r="V23" t="s">
        <v>33</v>
      </c>
      <c r="W23">
        <v>198.75</v>
      </c>
      <c r="X23" t="s">
        <v>43</v>
      </c>
    </row>
    <row r="24" spans="1:24" x14ac:dyDescent="0.25">
      <c r="A24" s="1">
        <v>45369</v>
      </c>
      <c r="B24" t="s">
        <v>23</v>
      </c>
      <c r="C24" t="s">
        <v>24</v>
      </c>
      <c r="D24" t="s">
        <v>43</v>
      </c>
      <c r="E24">
        <v>162</v>
      </c>
      <c r="F24">
        <v>900</v>
      </c>
      <c r="G24">
        <v>1100</v>
      </c>
      <c r="J24" t="s">
        <v>27</v>
      </c>
      <c r="K24" t="s">
        <v>31</v>
      </c>
      <c r="L24" t="s">
        <v>35</v>
      </c>
      <c r="M24" t="s">
        <v>18</v>
      </c>
      <c r="N24">
        <v>8</v>
      </c>
      <c r="R24" t="s">
        <v>33</v>
      </c>
      <c r="S24" t="s">
        <v>46</v>
      </c>
      <c r="T24">
        <v>236</v>
      </c>
      <c r="U24" t="str">
        <f>_xlfn.IFNA(_xlfn.IFS(E24&gt;Dash!$D$46, "Big", E24&lt;Dash!$D$49, "Small", E24&gt;Dash!$D$47, "Good"), "Norm")</f>
        <v>Norm</v>
      </c>
      <c r="V24" t="s">
        <v>20</v>
      </c>
      <c r="W24">
        <v>277.25</v>
      </c>
      <c r="X24" t="s">
        <v>14</v>
      </c>
    </row>
    <row r="25" spans="1:24" x14ac:dyDescent="0.25">
      <c r="A25" s="1">
        <v>45376</v>
      </c>
      <c r="B25" t="s">
        <v>23</v>
      </c>
      <c r="C25" t="s">
        <v>24</v>
      </c>
      <c r="D25" t="s">
        <v>46</v>
      </c>
      <c r="E25">
        <v>157</v>
      </c>
      <c r="F25">
        <v>700</v>
      </c>
      <c r="G25">
        <v>1000</v>
      </c>
      <c r="J25" t="s">
        <v>15</v>
      </c>
      <c r="K25" t="s">
        <v>16</v>
      </c>
      <c r="L25" t="s">
        <v>25</v>
      </c>
      <c r="M25" t="s">
        <v>19</v>
      </c>
      <c r="N25">
        <v>6</v>
      </c>
      <c r="R25" t="s">
        <v>20</v>
      </c>
      <c r="S25" t="s">
        <v>43</v>
      </c>
      <c r="T25">
        <v>177.5</v>
      </c>
      <c r="U25" t="str">
        <f>_xlfn.IFNA(_xlfn.IFS(E25&gt;Dash!$D$46, "Big", E25&lt;Dash!$D$49, "Small", E25&gt;Dash!$D$47, "Good"), "Norm")</f>
        <v>Norm</v>
      </c>
      <c r="V25" t="s">
        <v>33</v>
      </c>
      <c r="W25">
        <v>134</v>
      </c>
      <c r="X25" t="s">
        <v>46</v>
      </c>
    </row>
    <row r="26" spans="1:24" x14ac:dyDescent="0.25">
      <c r="A26" s="1">
        <v>45425</v>
      </c>
      <c r="B26" t="s">
        <v>23</v>
      </c>
      <c r="C26" t="s">
        <v>24</v>
      </c>
      <c r="D26">
        <v>1</v>
      </c>
      <c r="E26">
        <v>101.25</v>
      </c>
      <c r="J26" t="s">
        <v>34</v>
      </c>
      <c r="K26" t="s">
        <v>31</v>
      </c>
      <c r="L26" t="s">
        <v>35</v>
      </c>
      <c r="M26" t="s">
        <v>19</v>
      </c>
      <c r="N26">
        <v>10</v>
      </c>
      <c r="R26" t="s">
        <v>33</v>
      </c>
      <c r="S26" t="s">
        <v>53</v>
      </c>
      <c r="T26">
        <v>267.5</v>
      </c>
      <c r="U26" t="str">
        <f>_xlfn.IFNA(_xlfn.IFS(E26&gt;Dash!$D$46, "Big", E26&lt;Dash!$D$49, "Small", E26&gt;Dash!$D$47, "Good"), "Norm")</f>
        <v>Small</v>
      </c>
      <c r="V26" t="s">
        <v>33</v>
      </c>
      <c r="W26">
        <v>159.5</v>
      </c>
      <c r="X26" t="s">
        <v>28</v>
      </c>
    </row>
    <row r="27" spans="1:24" x14ac:dyDescent="0.25">
      <c r="A27" s="1">
        <v>45516</v>
      </c>
      <c r="B27" t="s">
        <v>23</v>
      </c>
      <c r="C27" t="s">
        <v>24</v>
      </c>
      <c r="D27" t="s">
        <v>28</v>
      </c>
      <c r="E27">
        <v>241.75</v>
      </c>
      <c r="F27">
        <v>300</v>
      </c>
      <c r="G27">
        <v>400</v>
      </c>
      <c r="J27" t="s">
        <v>30</v>
      </c>
      <c r="K27" t="s">
        <v>31</v>
      </c>
      <c r="L27" t="s">
        <v>35</v>
      </c>
      <c r="M27" t="s">
        <v>19</v>
      </c>
      <c r="N27">
        <v>8</v>
      </c>
      <c r="R27" t="s">
        <v>13</v>
      </c>
      <c r="S27" t="s">
        <v>28</v>
      </c>
      <c r="T27">
        <v>402.5</v>
      </c>
      <c r="U27" t="str">
        <f>_xlfn.IFNA(_xlfn.IFS(E27&gt;Dash!$D$46, "Big", E27&lt;Dash!$D$49, "Small", E27&gt;Dash!$D$47, "Good"), "Norm")</f>
        <v>Norm</v>
      </c>
      <c r="V27" t="s">
        <v>33</v>
      </c>
      <c r="W27">
        <v>291.5</v>
      </c>
      <c r="X27" t="s">
        <v>28</v>
      </c>
    </row>
    <row r="28" spans="1:24" x14ac:dyDescent="0.25">
      <c r="A28" s="1">
        <v>45551</v>
      </c>
      <c r="B28" t="s">
        <v>23</v>
      </c>
      <c r="C28" t="s">
        <v>24</v>
      </c>
      <c r="D28" t="s">
        <v>51</v>
      </c>
      <c r="E28">
        <v>168.5</v>
      </c>
      <c r="F28">
        <v>1800</v>
      </c>
      <c r="G28">
        <v>1100</v>
      </c>
      <c r="J28" t="s">
        <v>29</v>
      </c>
      <c r="K28" t="s">
        <v>16</v>
      </c>
      <c r="L28" t="s">
        <v>25</v>
      </c>
      <c r="M28" t="s">
        <v>19</v>
      </c>
      <c r="N28">
        <v>7</v>
      </c>
      <c r="R28" t="s">
        <v>33</v>
      </c>
      <c r="S28" t="s">
        <v>28</v>
      </c>
      <c r="T28">
        <v>275.75</v>
      </c>
      <c r="U28" t="str">
        <f>_xlfn.IFNA(_xlfn.IFS(E28&gt;Dash!$D$46, "Big", E28&lt;Dash!$D$49, "Small", E28&gt;Dash!$D$47, "Good"), "Norm")</f>
        <v>Norm</v>
      </c>
      <c r="V28" t="s">
        <v>33</v>
      </c>
      <c r="W28">
        <v>179</v>
      </c>
      <c r="X28" t="s">
        <v>28</v>
      </c>
    </row>
    <row r="29" spans="1:24" x14ac:dyDescent="0.25">
      <c r="A29" s="1">
        <v>45579</v>
      </c>
      <c r="B29" t="s">
        <v>23</v>
      </c>
      <c r="C29" t="s">
        <v>24</v>
      </c>
      <c r="D29" t="s">
        <v>28</v>
      </c>
      <c r="E29">
        <v>177.5</v>
      </c>
      <c r="F29">
        <v>600</v>
      </c>
      <c r="J29" t="s">
        <v>30</v>
      </c>
      <c r="K29" t="s">
        <v>31</v>
      </c>
      <c r="L29" t="s">
        <v>35</v>
      </c>
      <c r="M29" t="s">
        <v>36</v>
      </c>
      <c r="N29">
        <v>3</v>
      </c>
      <c r="R29" t="s">
        <v>33</v>
      </c>
      <c r="S29" t="s">
        <v>14</v>
      </c>
      <c r="T29">
        <v>405.25</v>
      </c>
      <c r="U29" t="str">
        <f>_xlfn.IFNA(_xlfn.IFS(E29&gt;Dash!$D$46, "Big", E29&lt;Dash!$D$49, "Small", E29&gt;Dash!$D$47, "Good"), "Norm")</f>
        <v>Norm</v>
      </c>
      <c r="V29" t="s">
        <v>33</v>
      </c>
      <c r="W29">
        <v>179.5</v>
      </c>
      <c r="X29">
        <v>1</v>
      </c>
    </row>
    <row r="30" spans="1:24" x14ac:dyDescent="0.25">
      <c r="A30" s="1">
        <v>45600</v>
      </c>
      <c r="B30" t="s">
        <v>23</v>
      </c>
      <c r="C30" t="s">
        <v>24</v>
      </c>
      <c r="D30" t="s">
        <v>14</v>
      </c>
      <c r="E30">
        <v>213.75</v>
      </c>
      <c r="F30">
        <v>900</v>
      </c>
      <c r="G30">
        <v>900</v>
      </c>
      <c r="J30" t="s">
        <v>45</v>
      </c>
      <c r="K30" t="s">
        <v>16</v>
      </c>
      <c r="L30" t="s">
        <v>25</v>
      </c>
      <c r="M30" t="s">
        <v>19</v>
      </c>
      <c r="N30">
        <v>7</v>
      </c>
      <c r="R30" t="s">
        <v>13</v>
      </c>
      <c r="S30" t="s">
        <v>28</v>
      </c>
      <c r="T30">
        <v>265.25</v>
      </c>
      <c r="U30" t="str">
        <f>_xlfn.IFNA(_xlfn.IFS(E30&gt;Dash!$D$46, "Big", E30&lt;Dash!$D$49, "Small", E30&gt;Dash!$D$47, "Good"), "Norm")</f>
        <v>Norm</v>
      </c>
      <c r="V30" t="s">
        <v>24</v>
      </c>
      <c r="W30">
        <v>230.5</v>
      </c>
      <c r="X30">
        <v>1</v>
      </c>
    </row>
    <row r="31" spans="1:24" x14ac:dyDescent="0.25">
      <c r="A31" s="1">
        <v>45614</v>
      </c>
      <c r="B31" t="s">
        <v>23</v>
      </c>
      <c r="C31" t="s">
        <v>24</v>
      </c>
      <c r="D31">
        <v>1</v>
      </c>
      <c r="E31">
        <v>242.75</v>
      </c>
      <c r="J31" t="s">
        <v>34</v>
      </c>
      <c r="K31" t="s">
        <v>31</v>
      </c>
      <c r="L31" t="s">
        <v>35</v>
      </c>
      <c r="M31" t="s">
        <v>36</v>
      </c>
      <c r="N31">
        <v>3</v>
      </c>
      <c r="R31" t="s">
        <v>33</v>
      </c>
      <c r="S31" t="s">
        <v>38</v>
      </c>
      <c r="T31">
        <v>410</v>
      </c>
      <c r="U31" t="str">
        <f>_xlfn.IFNA(_xlfn.IFS(E31&gt;Dash!$D$46, "Big", E31&lt;Dash!$D$49, "Small", E31&gt;Dash!$D$47, "Good"), "Norm")</f>
        <v>Norm</v>
      </c>
      <c r="V31" t="s">
        <v>13</v>
      </c>
      <c r="W31">
        <v>458.75</v>
      </c>
      <c r="X31" t="s">
        <v>14</v>
      </c>
    </row>
    <row r="32" spans="1:24" x14ac:dyDescent="0.25">
      <c r="A32" s="1">
        <v>45656</v>
      </c>
      <c r="B32" t="s">
        <v>23</v>
      </c>
      <c r="C32" t="s">
        <v>24</v>
      </c>
      <c r="D32" t="s">
        <v>14</v>
      </c>
      <c r="E32">
        <v>318</v>
      </c>
      <c r="F32">
        <v>700</v>
      </c>
      <c r="G32">
        <v>1200</v>
      </c>
      <c r="J32" t="s">
        <v>15</v>
      </c>
      <c r="K32" t="s">
        <v>16</v>
      </c>
      <c r="L32" t="s">
        <v>25</v>
      </c>
      <c r="M32" t="s">
        <v>36</v>
      </c>
      <c r="N32">
        <v>2</v>
      </c>
      <c r="R32" t="s">
        <v>20</v>
      </c>
      <c r="S32" t="s">
        <v>14</v>
      </c>
      <c r="T32">
        <v>317.5</v>
      </c>
      <c r="U32" t="str">
        <f>_xlfn.IFNA(_xlfn.IFS(E32&gt;Dash!$D$46, "Big", E32&lt;Dash!$D$49, "Small", E32&gt;Dash!$D$47, "Good"), "Norm")</f>
        <v>Good</v>
      </c>
      <c r="V32" t="s">
        <v>13</v>
      </c>
      <c r="W32">
        <v>442</v>
      </c>
      <c r="X32" t="s">
        <v>14</v>
      </c>
    </row>
    <row r="33" spans="1:24" x14ac:dyDescent="0.25">
      <c r="A33" s="1">
        <v>45362</v>
      </c>
      <c r="B33" t="s">
        <v>23</v>
      </c>
      <c r="C33" t="s">
        <v>41</v>
      </c>
      <c r="D33">
        <v>1</v>
      </c>
      <c r="E33">
        <v>133.25</v>
      </c>
      <c r="J33" t="s">
        <v>34</v>
      </c>
      <c r="K33" t="s">
        <v>22</v>
      </c>
      <c r="L33" t="s">
        <v>25</v>
      </c>
      <c r="M33" t="s">
        <v>19</v>
      </c>
      <c r="N33">
        <v>12</v>
      </c>
      <c r="R33" t="s">
        <v>33</v>
      </c>
      <c r="S33" t="s">
        <v>28</v>
      </c>
      <c r="T33">
        <v>317</v>
      </c>
      <c r="U33" t="str">
        <f>_xlfn.IFNA(_xlfn.IFS(E33&gt;Dash!$D$46, "Big", E33&lt;Dash!$D$49, "Small", E33&gt;Dash!$D$47, "Good"), "Norm")</f>
        <v>Small</v>
      </c>
      <c r="V33" t="s">
        <v>33</v>
      </c>
      <c r="W33">
        <v>424</v>
      </c>
      <c r="X33" t="s">
        <v>43</v>
      </c>
    </row>
    <row r="34" spans="1:24" x14ac:dyDescent="0.25">
      <c r="A34" s="1">
        <v>45530</v>
      </c>
      <c r="B34" t="s">
        <v>23</v>
      </c>
      <c r="C34" t="s">
        <v>41</v>
      </c>
      <c r="D34" t="s">
        <v>14</v>
      </c>
      <c r="E34">
        <v>296</v>
      </c>
      <c r="F34">
        <v>1000</v>
      </c>
      <c r="G34">
        <v>1000</v>
      </c>
      <c r="J34" t="s">
        <v>45</v>
      </c>
      <c r="K34" t="s">
        <v>22</v>
      </c>
      <c r="L34" t="s">
        <v>25</v>
      </c>
      <c r="M34" t="s">
        <v>19</v>
      </c>
      <c r="N34">
        <v>4</v>
      </c>
      <c r="R34" t="s">
        <v>33</v>
      </c>
      <c r="S34" t="s">
        <v>46</v>
      </c>
      <c r="T34">
        <v>252.75</v>
      </c>
      <c r="U34" t="str">
        <f>_xlfn.IFNA(_xlfn.IFS(E34&gt;Dash!$D$46, "Big", E34&lt;Dash!$D$49, "Small", E34&gt;Dash!$D$47, "Good"), "Norm")</f>
        <v>Good</v>
      </c>
      <c r="V34" t="s">
        <v>33</v>
      </c>
      <c r="W34">
        <v>312.5</v>
      </c>
      <c r="X34">
        <v>1</v>
      </c>
    </row>
    <row r="35" spans="1:24" x14ac:dyDescent="0.25">
      <c r="A35" s="1">
        <v>45586</v>
      </c>
      <c r="B35" t="s">
        <v>23</v>
      </c>
      <c r="C35" t="s">
        <v>41</v>
      </c>
      <c r="D35" t="s">
        <v>28</v>
      </c>
      <c r="E35">
        <v>209.5</v>
      </c>
      <c r="F35">
        <v>1000</v>
      </c>
      <c r="G35">
        <v>1000</v>
      </c>
      <c r="J35" t="s">
        <v>27</v>
      </c>
      <c r="K35" t="s">
        <v>39</v>
      </c>
      <c r="L35" t="s">
        <v>35</v>
      </c>
      <c r="M35" t="s">
        <v>36</v>
      </c>
      <c r="N35">
        <v>3</v>
      </c>
      <c r="R35" t="s">
        <v>33</v>
      </c>
      <c r="S35" t="s">
        <v>28</v>
      </c>
      <c r="T35">
        <v>242</v>
      </c>
      <c r="U35" t="str">
        <f>_xlfn.IFNA(_xlfn.IFS(E35&gt;Dash!$D$46, "Big", E35&lt;Dash!$D$49, "Small", E35&gt;Dash!$D$47, "Good"), "Norm")</f>
        <v>Norm</v>
      </c>
      <c r="V35" t="s">
        <v>24</v>
      </c>
      <c r="W35">
        <v>96.75</v>
      </c>
      <c r="X35">
        <v>1</v>
      </c>
    </row>
    <row r="36" spans="1:24" x14ac:dyDescent="0.25">
      <c r="A36" s="1">
        <v>45635</v>
      </c>
      <c r="B36" t="s">
        <v>23</v>
      </c>
      <c r="C36" t="s">
        <v>41</v>
      </c>
      <c r="D36" t="s">
        <v>43</v>
      </c>
      <c r="E36">
        <v>212.75</v>
      </c>
      <c r="F36">
        <v>1800</v>
      </c>
      <c r="G36">
        <v>1800</v>
      </c>
      <c r="J36" t="s">
        <v>29</v>
      </c>
      <c r="K36" t="s">
        <v>22</v>
      </c>
      <c r="L36" t="s">
        <v>25</v>
      </c>
      <c r="M36" t="s">
        <v>18</v>
      </c>
      <c r="N36">
        <v>6</v>
      </c>
      <c r="R36" t="s">
        <v>33</v>
      </c>
      <c r="S36" t="s">
        <v>14</v>
      </c>
      <c r="T36">
        <v>254</v>
      </c>
      <c r="U36" t="str">
        <f>_xlfn.IFNA(_xlfn.IFS(E36&gt;Dash!$D$46, "Big", E36&lt;Dash!$D$49, "Small", E36&gt;Dash!$D$47, "Good"), "Norm")</f>
        <v>Norm</v>
      </c>
      <c r="V36" t="s">
        <v>13</v>
      </c>
      <c r="W36">
        <v>229</v>
      </c>
      <c r="X36" t="s">
        <v>38</v>
      </c>
    </row>
    <row r="37" spans="1:24" x14ac:dyDescent="0.25">
      <c r="A37" s="1">
        <v>45176</v>
      </c>
      <c r="B37" t="s">
        <v>36</v>
      </c>
      <c r="C37" t="s">
        <v>24</v>
      </c>
      <c r="D37" t="s">
        <v>14</v>
      </c>
      <c r="E37">
        <v>154.25</v>
      </c>
      <c r="F37">
        <v>300</v>
      </c>
      <c r="G37">
        <v>300</v>
      </c>
      <c r="J37" t="s">
        <v>15</v>
      </c>
      <c r="K37" t="s">
        <v>16</v>
      </c>
      <c r="L37" t="s">
        <v>25</v>
      </c>
      <c r="M37" t="s">
        <v>18</v>
      </c>
      <c r="N37">
        <v>2</v>
      </c>
      <c r="P37">
        <v>900</v>
      </c>
      <c r="Q37">
        <v>1500</v>
      </c>
      <c r="R37" t="s">
        <v>41</v>
      </c>
      <c r="S37">
        <v>1</v>
      </c>
      <c r="T37">
        <v>149.75</v>
      </c>
      <c r="U37" t="str">
        <f>_xlfn.IFNA(_xlfn.IFS(E37&gt;Dash!$D$46, "Big", E37&lt;Dash!$D$49, "Small", E37&gt;Dash!$D$47, "Good"), "Norm")</f>
        <v>Small</v>
      </c>
      <c r="V37" t="s">
        <v>13</v>
      </c>
      <c r="W37">
        <v>203.75</v>
      </c>
      <c r="X37" t="s">
        <v>14</v>
      </c>
    </row>
    <row r="38" spans="1:24" x14ac:dyDescent="0.25">
      <c r="A38" s="1">
        <v>45281</v>
      </c>
      <c r="B38" t="s">
        <v>36</v>
      </c>
      <c r="C38" t="s">
        <v>24</v>
      </c>
      <c r="D38">
        <v>1</v>
      </c>
      <c r="E38">
        <v>155.25</v>
      </c>
      <c r="J38" t="s">
        <v>34</v>
      </c>
      <c r="K38" t="s">
        <v>31</v>
      </c>
      <c r="L38" t="s">
        <v>35</v>
      </c>
      <c r="M38" t="s">
        <v>18</v>
      </c>
      <c r="N38">
        <v>5</v>
      </c>
      <c r="P38">
        <v>1300</v>
      </c>
      <c r="Q38">
        <v>1500</v>
      </c>
      <c r="R38" t="s">
        <v>24</v>
      </c>
      <c r="S38" t="s">
        <v>43</v>
      </c>
      <c r="T38">
        <v>145.5</v>
      </c>
      <c r="U38" t="str">
        <f>_xlfn.IFNA(_xlfn.IFS(E38&gt;Dash!$D$46, "Big", E38&lt;Dash!$D$49, "Small", E38&gt;Dash!$D$47, "Good"), "Norm")</f>
        <v>Small</v>
      </c>
      <c r="V38" t="s">
        <v>33</v>
      </c>
      <c r="W38">
        <v>313.25</v>
      </c>
      <c r="X38" t="s">
        <v>57</v>
      </c>
    </row>
    <row r="39" spans="1:24" x14ac:dyDescent="0.25">
      <c r="A39" s="1">
        <v>45372</v>
      </c>
      <c r="B39" t="s">
        <v>36</v>
      </c>
      <c r="C39" t="s">
        <v>24</v>
      </c>
      <c r="D39" t="s">
        <v>28</v>
      </c>
      <c r="E39">
        <v>156.5</v>
      </c>
      <c r="F39">
        <v>1800</v>
      </c>
      <c r="J39" t="s">
        <v>29</v>
      </c>
      <c r="K39" t="s">
        <v>31</v>
      </c>
      <c r="L39" t="s">
        <v>35</v>
      </c>
      <c r="M39" t="s">
        <v>18</v>
      </c>
      <c r="N39">
        <v>8</v>
      </c>
      <c r="R39" t="s">
        <v>33</v>
      </c>
      <c r="S39" t="s">
        <v>46</v>
      </c>
      <c r="T39">
        <v>134</v>
      </c>
      <c r="U39" t="str">
        <f>_xlfn.IFNA(_xlfn.IFS(E39&gt;Dash!$D$46, "Big", E39&lt;Dash!$D$49, "Small", E39&gt;Dash!$D$47, "Good"), "Norm")</f>
        <v>Small</v>
      </c>
      <c r="V39" t="s">
        <v>13</v>
      </c>
      <c r="W39">
        <v>253</v>
      </c>
      <c r="X39" t="s">
        <v>14</v>
      </c>
    </row>
    <row r="40" spans="1:24" x14ac:dyDescent="0.25">
      <c r="A40" s="1">
        <v>45470</v>
      </c>
      <c r="B40" t="s">
        <v>36</v>
      </c>
      <c r="C40" t="s">
        <v>24</v>
      </c>
      <c r="D40" t="s">
        <v>38</v>
      </c>
      <c r="E40">
        <v>163.75</v>
      </c>
      <c r="F40">
        <v>2000</v>
      </c>
      <c r="G40">
        <v>2100</v>
      </c>
      <c r="H40">
        <v>900</v>
      </c>
      <c r="I40">
        <v>1000</v>
      </c>
      <c r="J40" t="s">
        <v>37</v>
      </c>
      <c r="K40" t="s">
        <v>31</v>
      </c>
      <c r="L40" t="s">
        <v>35</v>
      </c>
      <c r="M40" t="s">
        <v>19</v>
      </c>
      <c r="N40">
        <v>6</v>
      </c>
      <c r="R40" t="s">
        <v>33</v>
      </c>
      <c r="S40" t="s">
        <v>43</v>
      </c>
      <c r="T40">
        <v>367</v>
      </c>
      <c r="U40" t="str">
        <f>_xlfn.IFNA(_xlfn.IFS(E40&gt;Dash!$D$46, "Big", E40&lt;Dash!$D$49, "Small", E40&gt;Dash!$D$47, "Good"), "Norm")</f>
        <v>Norm</v>
      </c>
      <c r="V40" t="s">
        <v>41</v>
      </c>
      <c r="W40">
        <v>127</v>
      </c>
      <c r="X40" t="s">
        <v>43</v>
      </c>
    </row>
    <row r="41" spans="1:24" x14ac:dyDescent="0.25">
      <c r="A41" s="1">
        <v>45533</v>
      </c>
      <c r="B41" t="s">
        <v>36</v>
      </c>
      <c r="C41" t="s">
        <v>24</v>
      </c>
      <c r="D41" t="s">
        <v>47</v>
      </c>
      <c r="E41">
        <v>356.5</v>
      </c>
      <c r="F41">
        <v>1800</v>
      </c>
      <c r="G41">
        <v>2000</v>
      </c>
      <c r="J41" t="s">
        <v>37</v>
      </c>
      <c r="K41" t="s">
        <v>31</v>
      </c>
      <c r="L41" t="s">
        <v>35</v>
      </c>
      <c r="M41" t="s">
        <v>19</v>
      </c>
      <c r="N41">
        <v>4</v>
      </c>
      <c r="R41" t="s">
        <v>33</v>
      </c>
      <c r="S41">
        <v>1</v>
      </c>
      <c r="T41">
        <v>262.25</v>
      </c>
      <c r="U41" t="str">
        <f>_xlfn.IFNA(_xlfn.IFS(E41&gt;Dash!$D$46, "Big", E41&lt;Dash!$D$49, "Small", E41&gt;Dash!$D$47, "Good"), "Norm")</f>
        <v>Good</v>
      </c>
      <c r="V41" t="s">
        <v>20</v>
      </c>
      <c r="W41">
        <v>378</v>
      </c>
      <c r="X41" t="s">
        <v>14</v>
      </c>
    </row>
    <row r="42" spans="1:24" x14ac:dyDescent="0.25">
      <c r="A42" s="1">
        <v>45582</v>
      </c>
      <c r="B42" t="s">
        <v>36</v>
      </c>
      <c r="C42" t="s">
        <v>24</v>
      </c>
      <c r="D42" t="s">
        <v>28</v>
      </c>
      <c r="E42">
        <v>241</v>
      </c>
      <c r="F42">
        <v>200</v>
      </c>
      <c r="G42">
        <v>1500</v>
      </c>
      <c r="J42" t="s">
        <v>30</v>
      </c>
      <c r="K42" t="s">
        <v>31</v>
      </c>
      <c r="L42" t="s">
        <v>35</v>
      </c>
      <c r="M42" t="s">
        <v>36</v>
      </c>
      <c r="N42">
        <v>3</v>
      </c>
      <c r="O42" t="s">
        <v>74</v>
      </c>
      <c r="R42" t="s">
        <v>24</v>
      </c>
      <c r="S42">
        <v>1</v>
      </c>
      <c r="T42">
        <v>96.75</v>
      </c>
      <c r="U42" t="str">
        <f>_xlfn.IFNA(_xlfn.IFS(E42&gt;Dash!$D$46, "Big", E42&lt;Dash!$D$49, "Small", E42&gt;Dash!$D$47, "Good"), "Norm")</f>
        <v>Norm</v>
      </c>
      <c r="V42" t="s">
        <v>24</v>
      </c>
      <c r="W42">
        <v>173</v>
      </c>
      <c r="X42" t="s">
        <v>46</v>
      </c>
    </row>
    <row r="43" spans="1:24" x14ac:dyDescent="0.25">
      <c r="A43" s="1">
        <v>45652</v>
      </c>
      <c r="B43" t="s">
        <v>36</v>
      </c>
      <c r="C43" t="s">
        <v>24</v>
      </c>
      <c r="D43" t="s">
        <v>28</v>
      </c>
      <c r="E43">
        <v>206</v>
      </c>
      <c r="F43">
        <v>1800</v>
      </c>
      <c r="G43">
        <v>1900</v>
      </c>
      <c r="J43" t="s">
        <v>29</v>
      </c>
      <c r="K43" t="s">
        <v>16</v>
      </c>
      <c r="L43" t="s">
        <v>25</v>
      </c>
      <c r="M43" t="s">
        <v>36</v>
      </c>
      <c r="N43">
        <v>1</v>
      </c>
      <c r="R43" t="s">
        <v>13</v>
      </c>
      <c r="S43" t="s">
        <v>14</v>
      </c>
      <c r="T43">
        <v>442</v>
      </c>
      <c r="U43" t="str">
        <f>_xlfn.IFNA(_xlfn.IFS(E43&gt;Dash!$D$46, "Big", E43&lt;Dash!$D$49, "Small", E43&gt;Dash!$D$47, "Good"), "Norm")</f>
        <v>Norm</v>
      </c>
      <c r="V43" t="s">
        <v>13</v>
      </c>
      <c r="W43">
        <v>297</v>
      </c>
      <c r="X43" t="s">
        <v>28</v>
      </c>
    </row>
    <row r="44" spans="1:24" x14ac:dyDescent="0.25">
      <c r="A44" s="1">
        <v>45568</v>
      </c>
      <c r="B44" t="s">
        <v>36</v>
      </c>
      <c r="C44" t="s">
        <v>41</v>
      </c>
      <c r="D44" t="s">
        <v>43</v>
      </c>
      <c r="E44">
        <v>234.75</v>
      </c>
      <c r="F44">
        <v>1000</v>
      </c>
      <c r="G44">
        <v>1000</v>
      </c>
      <c r="J44" t="s">
        <v>27</v>
      </c>
      <c r="K44" t="s">
        <v>39</v>
      </c>
      <c r="L44" t="s">
        <v>35</v>
      </c>
      <c r="M44" t="s">
        <v>23</v>
      </c>
      <c r="N44">
        <v>9</v>
      </c>
      <c r="R44" t="s">
        <v>24</v>
      </c>
      <c r="S44" t="s">
        <v>28</v>
      </c>
      <c r="T44">
        <v>250.5</v>
      </c>
      <c r="U44" t="str">
        <f>_xlfn.IFNA(_xlfn.IFS(E44&gt;Dash!$D$46, "Big", E44&lt;Dash!$D$49, "Small", E44&gt;Dash!$D$47, "Good"), "Norm")</f>
        <v>Norm</v>
      </c>
      <c r="V44" t="s">
        <v>33</v>
      </c>
      <c r="W44">
        <v>256.75</v>
      </c>
      <c r="X44">
        <v>1</v>
      </c>
    </row>
    <row r="45" spans="1:24" x14ac:dyDescent="0.25">
      <c r="A45" s="1">
        <v>45566</v>
      </c>
      <c r="B45" t="s">
        <v>19</v>
      </c>
      <c r="C45" t="s">
        <v>24</v>
      </c>
      <c r="D45" t="s">
        <v>48</v>
      </c>
      <c r="E45">
        <v>468.5</v>
      </c>
      <c r="F45">
        <v>2100</v>
      </c>
      <c r="G45">
        <v>2300</v>
      </c>
      <c r="H45">
        <v>900</v>
      </c>
      <c r="J45" t="s">
        <v>29</v>
      </c>
      <c r="K45" t="s">
        <v>16</v>
      </c>
      <c r="L45" t="s">
        <v>25</v>
      </c>
      <c r="M45" t="s">
        <v>23</v>
      </c>
      <c r="N45">
        <v>9</v>
      </c>
      <c r="R45" t="s">
        <v>33</v>
      </c>
      <c r="S45">
        <v>1</v>
      </c>
      <c r="T45">
        <v>256.75</v>
      </c>
      <c r="U45" t="str">
        <f>_xlfn.IFNA(_xlfn.IFS(E45&gt;Dash!$D$46, "Big", E45&lt;Dash!$D$49, "Small", E45&gt;Dash!$D$47, "Good"), "Norm")</f>
        <v>Big</v>
      </c>
      <c r="V45" t="s">
        <v>13</v>
      </c>
      <c r="W45">
        <v>230.75</v>
      </c>
      <c r="X45" t="s">
        <v>46</v>
      </c>
    </row>
    <row r="46" spans="1:24" x14ac:dyDescent="0.25">
      <c r="A46" s="1">
        <v>45622</v>
      </c>
      <c r="B46" t="s">
        <v>19</v>
      </c>
      <c r="C46" t="s">
        <v>24</v>
      </c>
      <c r="D46" t="s">
        <v>46</v>
      </c>
      <c r="E46">
        <v>121</v>
      </c>
      <c r="F46">
        <v>2000</v>
      </c>
      <c r="G46">
        <v>2000</v>
      </c>
      <c r="J46" t="s">
        <v>37</v>
      </c>
      <c r="K46" t="s">
        <v>31</v>
      </c>
      <c r="L46" t="s">
        <v>35</v>
      </c>
      <c r="M46" t="s">
        <v>19</v>
      </c>
      <c r="N46">
        <v>5</v>
      </c>
      <c r="R46" t="s">
        <v>13</v>
      </c>
      <c r="S46" t="s">
        <v>14</v>
      </c>
      <c r="T46">
        <v>289.75</v>
      </c>
      <c r="U46" t="str">
        <f>_xlfn.IFNA(_xlfn.IFS(E46&gt;Dash!$D$46, "Big", E46&lt;Dash!$D$49, "Small", E46&gt;Dash!$D$47, "Good"), "Norm")</f>
        <v>Small</v>
      </c>
      <c r="V46" t="s">
        <v>33</v>
      </c>
      <c r="W46">
        <v>300.75</v>
      </c>
      <c r="X46" t="s">
        <v>43</v>
      </c>
    </row>
    <row r="47" spans="1:24" x14ac:dyDescent="0.25">
      <c r="A47" s="1">
        <v>45643</v>
      </c>
      <c r="B47" t="s">
        <v>19</v>
      </c>
      <c r="C47" t="s">
        <v>24</v>
      </c>
      <c r="D47">
        <v>1</v>
      </c>
      <c r="E47">
        <v>141.75</v>
      </c>
      <c r="J47" t="s">
        <v>34</v>
      </c>
      <c r="K47" t="s">
        <v>16</v>
      </c>
      <c r="L47" t="s">
        <v>25</v>
      </c>
      <c r="M47" t="s">
        <v>23</v>
      </c>
      <c r="N47">
        <v>11</v>
      </c>
      <c r="R47" t="s">
        <v>20</v>
      </c>
      <c r="S47" t="s">
        <v>14</v>
      </c>
      <c r="T47">
        <v>948.75</v>
      </c>
      <c r="U47" t="str">
        <f>_xlfn.IFNA(_xlfn.IFS(E47&gt;Dash!$D$46, "Big", E47&lt;Dash!$D$49, "Small", E47&gt;Dash!$D$47, "Good"), "Norm")</f>
        <v>Small</v>
      </c>
      <c r="V47" t="s">
        <v>13</v>
      </c>
      <c r="W47">
        <v>284</v>
      </c>
      <c r="X47" t="s">
        <v>40</v>
      </c>
    </row>
    <row r="48" spans="1:24" x14ac:dyDescent="0.25">
      <c r="A48" s="1">
        <v>45265</v>
      </c>
      <c r="B48" t="s">
        <v>19</v>
      </c>
      <c r="C48" t="s">
        <v>41</v>
      </c>
      <c r="D48">
        <v>1</v>
      </c>
      <c r="E48">
        <v>192</v>
      </c>
      <c r="J48" t="s">
        <v>34</v>
      </c>
      <c r="K48" t="s">
        <v>39</v>
      </c>
      <c r="L48" t="s">
        <v>35</v>
      </c>
      <c r="M48" t="s">
        <v>19</v>
      </c>
      <c r="N48">
        <v>8</v>
      </c>
      <c r="P48">
        <v>1100</v>
      </c>
      <c r="Q48">
        <v>1200</v>
      </c>
      <c r="R48" t="s">
        <v>33</v>
      </c>
      <c r="S48" t="s">
        <v>43</v>
      </c>
      <c r="T48">
        <v>235.75</v>
      </c>
      <c r="U48" t="str">
        <f>_xlfn.IFNA(_xlfn.IFS(E48&gt;Dash!$D$46, "Big", E48&lt;Dash!$D$49, "Small", E48&gt;Dash!$D$47, "Good"), "Norm")</f>
        <v>Norm</v>
      </c>
      <c r="V48" t="s">
        <v>33</v>
      </c>
      <c r="W48">
        <v>246.75</v>
      </c>
      <c r="X48" t="s">
        <v>14</v>
      </c>
    </row>
    <row r="49" spans="1:24" x14ac:dyDescent="0.25">
      <c r="A49" s="1">
        <v>45307</v>
      </c>
      <c r="B49" t="s">
        <v>19</v>
      </c>
      <c r="C49" t="s">
        <v>41</v>
      </c>
      <c r="D49" t="s">
        <v>46</v>
      </c>
      <c r="E49">
        <v>178.75</v>
      </c>
      <c r="F49">
        <v>100</v>
      </c>
      <c r="G49">
        <v>1000</v>
      </c>
      <c r="J49" t="s">
        <v>37</v>
      </c>
      <c r="K49" t="s">
        <v>39</v>
      </c>
      <c r="L49" t="s">
        <v>35</v>
      </c>
      <c r="M49" t="s">
        <v>18</v>
      </c>
      <c r="N49">
        <v>5</v>
      </c>
      <c r="R49" t="s">
        <v>24</v>
      </c>
      <c r="S49" t="s">
        <v>46</v>
      </c>
      <c r="T49">
        <v>201.25</v>
      </c>
      <c r="U49" t="str">
        <f>_xlfn.IFNA(_xlfn.IFS(E49&gt;Dash!$D$46, "Big", E49&lt;Dash!$D$49, "Small", E49&gt;Dash!$D$47, "Good"), "Norm")</f>
        <v>Norm</v>
      </c>
      <c r="V49" t="s">
        <v>41</v>
      </c>
      <c r="W49">
        <v>147.25</v>
      </c>
      <c r="X49">
        <v>1</v>
      </c>
    </row>
    <row r="50" spans="1:24" x14ac:dyDescent="0.25">
      <c r="A50" s="1">
        <v>45384</v>
      </c>
      <c r="B50" t="s">
        <v>19</v>
      </c>
      <c r="C50" t="s">
        <v>41</v>
      </c>
      <c r="D50" t="s">
        <v>14</v>
      </c>
      <c r="E50">
        <v>213</v>
      </c>
      <c r="F50">
        <v>700</v>
      </c>
      <c r="J50" t="s">
        <v>15</v>
      </c>
      <c r="K50" t="s">
        <v>22</v>
      </c>
      <c r="L50" t="s">
        <v>25</v>
      </c>
      <c r="M50" t="s">
        <v>23</v>
      </c>
      <c r="N50">
        <v>9</v>
      </c>
      <c r="R50" t="s">
        <v>33</v>
      </c>
      <c r="S50">
        <v>1</v>
      </c>
      <c r="T50">
        <v>219.25</v>
      </c>
      <c r="U50" t="str">
        <f>_xlfn.IFNA(_xlfn.IFS(E50&gt;Dash!$D$46, "Big", E50&lt;Dash!$D$49, "Small", E50&gt;Dash!$D$47, "Good"), "Norm")</f>
        <v>Norm</v>
      </c>
      <c r="V50" t="s">
        <v>13</v>
      </c>
      <c r="W50">
        <v>192.5</v>
      </c>
      <c r="X50" t="s">
        <v>48</v>
      </c>
    </row>
    <row r="51" spans="1:24" x14ac:dyDescent="0.25">
      <c r="A51" s="1">
        <v>45496</v>
      </c>
      <c r="B51" t="s">
        <v>19</v>
      </c>
      <c r="C51" t="s">
        <v>41</v>
      </c>
      <c r="D51" t="s">
        <v>43</v>
      </c>
      <c r="E51">
        <v>180.75</v>
      </c>
      <c r="F51">
        <v>1000</v>
      </c>
      <c r="G51">
        <v>1000</v>
      </c>
      <c r="J51" t="s">
        <v>27</v>
      </c>
      <c r="K51" t="s">
        <v>39</v>
      </c>
      <c r="L51" t="s">
        <v>35</v>
      </c>
      <c r="M51" t="s">
        <v>18</v>
      </c>
      <c r="N51">
        <v>5</v>
      </c>
      <c r="O51" t="s">
        <v>71</v>
      </c>
      <c r="R51" t="s">
        <v>13</v>
      </c>
      <c r="S51" t="s">
        <v>47</v>
      </c>
      <c r="T51">
        <v>536.25</v>
      </c>
      <c r="U51" t="str">
        <f>_xlfn.IFNA(_xlfn.IFS(E51&gt;Dash!$D$46, "Big", E51&lt;Dash!$D$49, "Small", E51&gt;Dash!$D$47, "Good"), "Norm")</f>
        <v>Norm</v>
      </c>
      <c r="V51" t="s">
        <v>13</v>
      </c>
      <c r="W51">
        <v>235</v>
      </c>
      <c r="X51" t="s">
        <v>28</v>
      </c>
    </row>
    <row r="52" spans="1:24" x14ac:dyDescent="0.25">
      <c r="A52" s="1">
        <v>45524</v>
      </c>
      <c r="B52" t="s">
        <v>19</v>
      </c>
      <c r="C52" t="s">
        <v>41</v>
      </c>
      <c r="D52" t="s">
        <v>43</v>
      </c>
      <c r="E52">
        <v>182</v>
      </c>
      <c r="F52">
        <v>1800</v>
      </c>
      <c r="G52">
        <v>1800</v>
      </c>
      <c r="J52" t="s">
        <v>29</v>
      </c>
      <c r="K52" t="s">
        <v>22</v>
      </c>
      <c r="L52" t="s">
        <v>25</v>
      </c>
      <c r="M52" t="s">
        <v>18</v>
      </c>
      <c r="N52">
        <v>6</v>
      </c>
      <c r="R52" t="s">
        <v>33</v>
      </c>
      <c r="S52" t="s">
        <v>28</v>
      </c>
      <c r="T52">
        <v>210.25</v>
      </c>
      <c r="U52" t="str">
        <f>_xlfn.IFNA(_xlfn.IFS(E52&gt;Dash!$D$46, "Big", E52&lt;Dash!$D$49, "Small", E52&gt;Dash!$D$47, "Good"), "Norm")</f>
        <v>Norm</v>
      </c>
      <c r="V52" t="s">
        <v>20</v>
      </c>
      <c r="W52">
        <v>332.25</v>
      </c>
      <c r="X52" t="s">
        <v>28</v>
      </c>
    </row>
    <row r="53" spans="1:24" x14ac:dyDescent="0.25">
      <c r="A53" s="1">
        <v>45308</v>
      </c>
      <c r="B53" t="s">
        <v>18</v>
      </c>
      <c r="C53" t="s">
        <v>24</v>
      </c>
      <c r="D53" t="s">
        <v>46</v>
      </c>
      <c r="E53">
        <v>201.25</v>
      </c>
      <c r="F53">
        <v>800</v>
      </c>
      <c r="G53">
        <v>1400</v>
      </c>
      <c r="J53" t="s">
        <v>45</v>
      </c>
      <c r="K53" t="s">
        <v>16</v>
      </c>
      <c r="L53" t="s">
        <v>25</v>
      </c>
      <c r="M53" t="s">
        <v>18</v>
      </c>
      <c r="N53">
        <v>5</v>
      </c>
      <c r="R53" t="s">
        <v>13</v>
      </c>
      <c r="S53" t="s">
        <v>28</v>
      </c>
      <c r="T53">
        <v>183.25</v>
      </c>
      <c r="U53" t="str">
        <f>_xlfn.IFNA(_xlfn.IFS(E53&gt;Dash!$D$46, "Big", E53&lt;Dash!$D$49, "Small", E53&gt;Dash!$D$47, "Good"), "Norm")</f>
        <v>Norm</v>
      </c>
      <c r="V53" t="s">
        <v>41</v>
      </c>
      <c r="W53">
        <v>178.75</v>
      </c>
      <c r="X53" t="s">
        <v>46</v>
      </c>
    </row>
    <row r="54" spans="1:24" x14ac:dyDescent="0.25">
      <c r="A54" s="1">
        <v>45329</v>
      </c>
      <c r="B54" t="s">
        <v>18</v>
      </c>
      <c r="C54" t="s">
        <v>24</v>
      </c>
      <c r="D54" t="s">
        <v>28</v>
      </c>
      <c r="E54">
        <v>170</v>
      </c>
      <c r="F54">
        <v>900</v>
      </c>
      <c r="J54" t="s">
        <v>27</v>
      </c>
      <c r="K54" t="s">
        <v>31</v>
      </c>
      <c r="L54" t="s">
        <v>35</v>
      </c>
      <c r="M54" t="s">
        <v>23</v>
      </c>
      <c r="N54">
        <v>2</v>
      </c>
      <c r="R54" t="s">
        <v>33</v>
      </c>
      <c r="S54" t="s">
        <v>28</v>
      </c>
      <c r="T54">
        <v>104.25</v>
      </c>
      <c r="U54" t="str">
        <f>_xlfn.IFNA(_xlfn.IFS(E54&gt;Dash!$D$46, "Big", E54&lt;Dash!$D$49, "Small", E54&gt;Dash!$D$47, "Good"), "Norm")</f>
        <v>Norm</v>
      </c>
      <c r="V54" t="s">
        <v>20</v>
      </c>
      <c r="W54">
        <v>207</v>
      </c>
      <c r="X54" t="s">
        <v>43</v>
      </c>
    </row>
    <row r="55" spans="1:24" x14ac:dyDescent="0.25">
      <c r="A55" s="1">
        <v>45539</v>
      </c>
      <c r="B55" t="s">
        <v>18</v>
      </c>
      <c r="C55" t="s">
        <v>24</v>
      </c>
      <c r="D55" t="s">
        <v>46</v>
      </c>
      <c r="E55">
        <v>276.5</v>
      </c>
      <c r="F55">
        <v>2000</v>
      </c>
      <c r="G55">
        <v>500</v>
      </c>
      <c r="J55" t="s">
        <v>37</v>
      </c>
      <c r="K55" t="s">
        <v>31</v>
      </c>
      <c r="L55" t="s">
        <v>35</v>
      </c>
      <c r="M55" t="s">
        <v>19</v>
      </c>
      <c r="N55">
        <v>9</v>
      </c>
      <c r="R55" t="s">
        <v>33</v>
      </c>
      <c r="S55" t="s">
        <v>43</v>
      </c>
      <c r="T55">
        <v>323.25</v>
      </c>
      <c r="U55" t="str">
        <f>_xlfn.IFNA(_xlfn.IFS(E55&gt;Dash!$D$46, "Big", E55&lt;Dash!$D$49, "Small", E55&gt;Dash!$D$47, "Good"), "Norm")</f>
        <v>Good</v>
      </c>
      <c r="V55" t="s">
        <v>13</v>
      </c>
      <c r="W55">
        <v>611.25</v>
      </c>
      <c r="X55" t="s">
        <v>48</v>
      </c>
    </row>
    <row r="56" spans="1:24" x14ac:dyDescent="0.25">
      <c r="A56" s="1">
        <v>45581</v>
      </c>
      <c r="B56" t="s">
        <v>18</v>
      </c>
      <c r="C56" t="s">
        <v>24</v>
      </c>
      <c r="D56" t="s">
        <v>46</v>
      </c>
      <c r="E56">
        <v>173</v>
      </c>
      <c r="F56">
        <v>900</v>
      </c>
      <c r="G56">
        <v>1000</v>
      </c>
      <c r="J56" t="s">
        <v>45</v>
      </c>
      <c r="K56" t="s">
        <v>16</v>
      </c>
      <c r="L56" t="s">
        <v>25</v>
      </c>
      <c r="M56" t="s">
        <v>36</v>
      </c>
      <c r="N56">
        <v>3</v>
      </c>
      <c r="R56" t="s">
        <v>24</v>
      </c>
      <c r="S56" t="s">
        <v>28</v>
      </c>
      <c r="T56">
        <v>241</v>
      </c>
      <c r="U56" t="str">
        <f>_xlfn.IFNA(_xlfn.IFS(E56&gt;Dash!$D$46, "Big", E56&lt;Dash!$D$49, "Small", E56&gt;Dash!$D$47, "Good"), "Norm")</f>
        <v>Norm</v>
      </c>
      <c r="V56" t="s">
        <v>33</v>
      </c>
      <c r="W56">
        <v>405.25</v>
      </c>
      <c r="X56" t="s">
        <v>14</v>
      </c>
    </row>
    <row r="57" spans="1:24" x14ac:dyDescent="0.25">
      <c r="A57" s="1">
        <v>45252</v>
      </c>
      <c r="B57" t="s">
        <v>18</v>
      </c>
      <c r="C57" t="s">
        <v>41</v>
      </c>
      <c r="D57" t="s">
        <v>28</v>
      </c>
      <c r="E57">
        <v>168</v>
      </c>
      <c r="F57">
        <v>900</v>
      </c>
      <c r="G57">
        <v>900</v>
      </c>
      <c r="J57" t="s">
        <v>27</v>
      </c>
      <c r="K57" t="s">
        <v>39</v>
      </c>
      <c r="L57" t="s">
        <v>35</v>
      </c>
      <c r="M57" t="s">
        <v>19</v>
      </c>
      <c r="N57">
        <v>5</v>
      </c>
      <c r="P57">
        <v>1300</v>
      </c>
      <c r="Q57">
        <v>1400</v>
      </c>
      <c r="R57" t="s">
        <v>24</v>
      </c>
      <c r="S57">
        <v>1</v>
      </c>
      <c r="T57">
        <v>87.5</v>
      </c>
      <c r="U57" t="str">
        <f>_xlfn.IFNA(_xlfn.IFS(E57&gt;Dash!$D$46, "Big", E57&lt;Dash!$D$49, "Small", E57&gt;Dash!$D$47, "Good"), "Norm")</f>
        <v>Norm</v>
      </c>
      <c r="V57">
        <v>0</v>
      </c>
      <c r="W57">
        <v>126.5</v>
      </c>
      <c r="X57" t="s">
        <v>14</v>
      </c>
    </row>
    <row r="58" spans="1:24" x14ac:dyDescent="0.25">
      <c r="A58" s="1">
        <v>45364</v>
      </c>
      <c r="B58" t="s">
        <v>18</v>
      </c>
      <c r="C58" t="s">
        <v>41</v>
      </c>
      <c r="D58" t="s">
        <v>43</v>
      </c>
      <c r="E58">
        <v>185.5</v>
      </c>
      <c r="F58">
        <v>300</v>
      </c>
      <c r="G58">
        <v>400</v>
      </c>
      <c r="J58" t="s">
        <v>30</v>
      </c>
      <c r="K58" t="s">
        <v>22</v>
      </c>
      <c r="L58" t="s">
        <v>25</v>
      </c>
      <c r="M58" t="s">
        <v>19</v>
      </c>
      <c r="N58">
        <v>12</v>
      </c>
      <c r="R58" t="s">
        <v>20</v>
      </c>
      <c r="S58" t="s">
        <v>14</v>
      </c>
      <c r="T58">
        <v>252.75</v>
      </c>
      <c r="U58" t="str">
        <f>_xlfn.IFNA(_xlfn.IFS(E58&gt;Dash!$D$46, "Big", E58&lt;Dash!$D$49, "Small", E58&gt;Dash!$D$47, "Good"), "Norm")</f>
        <v>Norm</v>
      </c>
      <c r="V58" t="s">
        <v>33</v>
      </c>
      <c r="W58">
        <v>317</v>
      </c>
      <c r="X58" t="s">
        <v>28</v>
      </c>
    </row>
    <row r="59" spans="1:24" x14ac:dyDescent="0.25">
      <c r="A59" s="1">
        <v>45469</v>
      </c>
      <c r="B59" t="s">
        <v>18</v>
      </c>
      <c r="C59" t="s">
        <v>41</v>
      </c>
      <c r="D59" t="s">
        <v>43</v>
      </c>
      <c r="E59">
        <v>127</v>
      </c>
      <c r="F59">
        <v>1800</v>
      </c>
      <c r="G59">
        <v>1800</v>
      </c>
      <c r="J59" t="s">
        <v>29</v>
      </c>
      <c r="K59" t="s">
        <v>22</v>
      </c>
      <c r="L59" t="s">
        <v>25</v>
      </c>
      <c r="M59" t="s">
        <v>19</v>
      </c>
      <c r="N59">
        <v>6</v>
      </c>
      <c r="R59" t="s">
        <v>24</v>
      </c>
      <c r="S59" t="s">
        <v>38</v>
      </c>
      <c r="T59">
        <v>163.75</v>
      </c>
      <c r="U59" t="str">
        <f>_xlfn.IFNA(_xlfn.IFS(E59&gt;Dash!$D$46, "Big", E59&lt;Dash!$D$49, "Small", E59&gt;Dash!$D$47, "Good"), "Norm")</f>
        <v>Small</v>
      </c>
      <c r="V59" t="s">
        <v>20</v>
      </c>
      <c r="W59">
        <v>189</v>
      </c>
      <c r="X59" t="s">
        <v>46</v>
      </c>
    </row>
    <row r="60" spans="1:24" x14ac:dyDescent="0.25">
      <c r="A60" s="1">
        <v>45560</v>
      </c>
      <c r="B60" t="s">
        <v>18</v>
      </c>
      <c r="C60" t="s">
        <v>41</v>
      </c>
      <c r="D60" t="s">
        <v>43</v>
      </c>
      <c r="E60">
        <v>146</v>
      </c>
      <c r="F60">
        <v>900</v>
      </c>
      <c r="G60">
        <v>1100</v>
      </c>
      <c r="J60" t="s">
        <v>27</v>
      </c>
      <c r="K60" t="s">
        <v>39</v>
      </c>
      <c r="L60" t="s">
        <v>35</v>
      </c>
      <c r="M60" t="s">
        <v>23</v>
      </c>
      <c r="N60">
        <v>7</v>
      </c>
      <c r="R60" t="s">
        <v>33</v>
      </c>
      <c r="S60" t="s">
        <v>28</v>
      </c>
      <c r="T60">
        <v>350</v>
      </c>
      <c r="U60" t="str">
        <f>_xlfn.IFNA(_xlfn.IFS(E60&gt;Dash!$D$46, "Big", E60&lt;Dash!$D$49, "Small", E60&gt;Dash!$D$47, "Good"), "Norm")</f>
        <v>Small</v>
      </c>
      <c r="V60" t="s">
        <v>33</v>
      </c>
      <c r="W60">
        <v>261.75</v>
      </c>
      <c r="X60" t="s">
        <v>28</v>
      </c>
    </row>
    <row r="61" spans="1:24" x14ac:dyDescent="0.25">
      <c r="A61" s="1">
        <v>45616</v>
      </c>
      <c r="B61" t="s">
        <v>18</v>
      </c>
      <c r="C61" t="s">
        <v>41</v>
      </c>
      <c r="D61" t="s">
        <v>43</v>
      </c>
      <c r="E61">
        <v>353</v>
      </c>
      <c r="F61">
        <v>1900</v>
      </c>
      <c r="G61">
        <v>2000</v>
      </c>
      <c r="J61" t="s">
        <v>29</v>
      </c>
      <c r="K61" t="s">
        <v>22</v>
      </c>
      <c r="L61" t="s">
        <v>25</v>
      </c>
      <c r="M61" t="s">
        <v>36</v>
      </c>
      <c r="N61">
        <v>3</v>
      </c>
      <c r="O61" t="s">
        <v>66</v>
      </c>
      <c r="R61" t="s">
        <v>33</v>
      </c>
      <c r="S61" t="s">
        <v>28</v>
      </c>
      <c r="T61">
        <v>391.5</v>
      </c>
      <c r="U61" t="str">
        <f>_xlfn.IFNA(_xlfn.IFS(E61&gt;Dash!$D$46, "Big", E61&lt;Dash!$D$49, "Small", E61&gt;Dash!$D$47, "Good"), "Norm")</f>
        <v>Good</v>
      </c>
      <c r="V61" t="s">
        <v>33</v>
      </c>
      <c r="W61">
        <v>410</v>
      </c>
      <c r="X61" t="s">
        <v>38</v>
      </c>
    </row>
  </sheetData>
  <sortState xmlns:xlrd2="http://schemas.microsoft.com/office/spreadsheetml/2017/richdata2" ref="A4:X61">
    <sortCondition ref="B4:B61"/>
  </sortState>
  <conditionalFormatting sqref="C1:C1048576 R4:R957">
    <cfRule type="containsText" dxfId="198" priority="19" operator="containsText" text="NY Z Day">
      <formula>NOT(ISERROR(SEARCH("NY Z Day",C1)))</formula>
    </cfRule>
    <cfRule type="containsText" dxfId="197" priority="20" operator="containsText" text="Lon Pivot">
      <formula>NOT(ISERROR(SEARCH("Lon Pivot",C1)))</formula>
    </cfRule>
    <cfRule type="containsText" dxfId="196" priority="21" operator="containsText" text="Screamer">
      <formula>NOT(ISERROR(SEARCH("Screamer",C1)))</formula>
    </cfRule>
    <cfRule type="containsText" dxfId="195" priority="22" operator="containsText" text="Lon Wall">
      <formula>NOT(ISERROR(SEARCH("Lon Wall",C1)))</formula>
    </cfRule>
    <cfRule type="containsText" dxfId="194" priority="23" operator="containsText" text="Asia Wall">
      <formula>NOT(ISERROR(SEARCH("Asia Wall",C1)))</formula>
    </cfRule>
  </conditionalFormatting>
  <conditionalFormatting sqref="M1:O1048576 B4:B729">
    <cfRule type="containsText" dxfId="193" priority="14" operator="containsText" text="Friday">
      <formula>NOT(ISERROR(SEARCH("Friday",B1)))</formula>
    </cfRule>
    <cfRule type="containsText" dxfId="192" priority="15" operator="containsText" text="Thursday">
      <formula>NOT(ISERROR(SEARCH("Thursday",B1)))</formula>
    </cfRule>
    <cfRule type="containsText" dxfId="191" priority="16" operator="containsText" text="Wednesday">
      <formula>NOT(ISERROR(SEARCH("Wednesday",B1)))</formula>
    </cfRule>
    <cfRule type="containsText" dxfId="190" priority="17" operator="containsText" text="Tuesday">
      <formula>NOT(ISERROR(SEARCH("Tuesday",B1)))</formula>
    </cfRule>
    <cfRule type="containsText" dxfId="189" priority="18" operator="containsText" text="Monday">
      <formula>NOT(ISERROR(SEARCH("Monday",B1)))</formula>
    </cfRule>
  </conditionalFormatting>
  <conditionalFormatting sqref="P1:Q2 J1:L1048576">
    <cfRule type="containsText" dxfId="188" priority="24" operator="containsText" text="NYAH">
      <formula>NOT(ISERROR(SEARCH("NYAH",J1)))</formula>
    </cfRule>
    <cfRule type="containsText" dxfId="187" priority="25" operator="containsText" text="NYA">
      <formula>NOT(ISERROR(SEARCH("NYA",J1)))</formula>
    </cfRule>
    <cfRule type="containsText" dxfId="186" priority="26" operator="containsText" text="NYO">
      <formula>NOT(ISERROR(SEARCH("NYO",J1)))</formula>
    </cfRule>
    <cfRule type="containsText" dxfId="185" priority="27" operator="containsText" text="Inside">
      <formula>NOT(ISERROR(SEARCH("Inside",J1)))</formula>
    </cfRule>
    <cfRule type="containsText" dxfId="184" priority="28" operator="containsText" text="Asia">
      <formula>NOT(ISERROR(SEARCH("Asia",J1)))</formula>
    </cfRule>
    <cfRule type="containsText" dxfId="183" priority="29" operator="containsText" text="Lon">
      <formula>NOT(ISERROR(SEARCH("Lon",J1)))</formula>
    </cfRule>
  </conditionalFormatting>
  <conditionalFormatting sqref="R1:R2">
    <cfRule type="containsText" dxfId="182" priority="9" operator="containsText" text="Friday">
      <formula>NOT(ISERROR(SEARCH("Friday",R1)))</formula>
    </cfRule>
    <cfRule type="containsText" dxfId="181" priority="10" operator="containsText" text="Thursday">
      <formula>NOT(ISERROR(SEARCH("Thursday",R1)))</formula>
    </cfRule>
    <cfRule type="containsText" dxfId="180" priority="11" operator="containsText" text="Wednesday">
      <formula>NOT(ISERROR(SEARCH("Wednesday",R1)))</formula>
    </cfRule>
    <cfRule type="containsText" dxfId="179" priority="12" operator="containsText" text="Tuesday">
      <formula>NOT(ISERROR(SEARCH("Tuesday",R1)))</formula>
    </cfRule>
    <cfRule type="containsText" dxfId="178" priority="13" operator="containsText" text="Monday">
      <formula>NOT(ISERROR(SEARCH("Monday",R1)))</formula>
    </cfRule>
  </conditionalFormatting>
  <conditionalFormatting sqref="U4:U61">
    <cfRule type="cellIs" dxfId="177" priority="1" operator="equal">
      <formula>"Good"</formula>
    </cfRule>
  </conditionalFormatting>
  <conditionalFormatting sqref="U4:U1048576">
    <cfRule type="cellIs" dxfId="176" priority="2" operator="equal">
      <formula>"Big"</formula>
    </cfRule>
    <cfRule type="cellIs" dxfId="175" priority="3" operator="equal">
      <formula>"Small"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AB4D7-C53E-46F5-95B4-15FA493AA6DF}">
  <dimension ref="A1:X46"/>
  <sheetViews>
    <sheetView topLeftCell="C21" workbookViewId="0">
      <selection activeCell="Q19" sqref="Q19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  <col min="14" max="14" width="5.85546875" customWidth="1"/>
    <col min="15" max="15" width="8" customWidth="1"/>
    <col min="16" max="17" width="6" customWidth="1"/>
    <col min="21" max="21" width="8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45177</v>
      </c>
      <c r="B4" t="s">
        <v>26</v>
      </c>
      <c r="C4" t="s">
        <v>41</v>
      </c>
      <c r="D4">
        <v>1</v>
      </c>
      <c r="E4">
        <v>149.75</v>
      </c>
      <c r="J4" t="s">
        <v>34</v>
      </c>
      <c r="K4" t="s">
        <v>39</v>
      </c>
      <c r="L4" t="s">
        <v>35</v>
      </c>
      <c r="M4" t="s">
        <v>18</v>
      </c>
      <c r="N4">
        <v>2</v>
      </c>
      <c r="P4">
        <v>1400</v>
      </c>
      <c r="Q4">
        <v>1500</v>
      </c>
      <c r="R4" t="s">
        <v>13</v>
      </c>
      <c r="S4" t="s">
        <v>28</v>
      </c>
      <c r="T4">
        <v>158.5</v>
      </c>
      <c r="U4" t="str">
        <f>_xlfn.IFNA(_xlfn.IFS(E4&gt;Dash!$D$46, "Big", E4&lt;Dash!$D$49, "Small", E4&gt;Dash!$D$47, "Good"), "Norm")</f>
        <v>Small</v>
      </c>
      <c r="V4" t="s">
        <v>24</v>
      </c>
      <c r="W4">
        <v>154.25</v>
      </c>
      <c r="X4" t="s">
        <v>14</v>
      </c>
    </row>
    <row r="5" spans="1:24" x14ac:dyDescent="0.25">
      <c r="A5" s="1">
        <v>45201</v>
      </c>
      <c r="B5" t="s">
        <v>23</v>
      </c>
      <c r="C5" t="s">
        <v>33</v>
      </c>
      <c r="D5">
        <v>1</v>
      </c>
      <c r="E5">
        <v>220</v>
      </c>
      <c r="J5" t="s">
        <v>34</v>
      </c>
      <c r="K5" t="s">
        <v>25</v>
      </c>
      <c r="L5" t="s">
        <v>35</v>
      </c>
      <c r="M5" t="s">
        <v>23</v>
      </c>
      <c r="N5">
        <v>9</v>
      </c>
      <c r="P5">
        <v>1400</v>
      </c>
      <c r="Q5">
        <v>1600</v>
      </c>
      <c r="R5" t="s">
        <v>20</v>
      </c>
      <c r="S5" t="s">
        <v>14</v>
      </c>
      <c r="T5">
        <v>323.25</v>
      </c>
      <c r="U5" t="str">
        <f>_xlfn.IFNA(_xlfn.IFS(E5&gt;Dash!$D$46, "Big", E5&lt;Dash!$D$49, "Small", E5&gt;Dash!$D$47, "Good"), "Norm")</f>
        <v>Norm</v>
      </c>
      <c r="V5" t="s">
        <v>33</v>
      </c>
      <c r="W5">
        <v>249.75</v>
      </c>
      <c r="X5" t="s">
        <v>43</v>
      </c>
    </row>
    <row r="6" spans="1:24" x14ac:dyDescent="0.25">
      <c r="A6" s="1">
        <v>45215</v>
      </c>
      <c r="B6" t="s">
        <v>23</v>
      </c>
      <c r="C6" t="s">
        <v>20</v>
      </c>
      <c r="D6">
        <v>1</v>
      </c>
      <c r="E6">
        <v>211.75</v>
      </c>
      <c r="J6" t="s">
        <v>34</v>
      </c>
      <c r="K6" t="s">
        <v>39</v>
      </c>
      <c r="L6" t="s">
        <v>32</v>
      </c>
      <c r="M6" t="s">
        <v>23</v>
      </c>
      <c r="N6">
        <v>5</v>
      </c>
      <c r="P6">
        <v>1300</v>
      </c>
      <c r="Q6">
        <v>1500</v>
      </c>
      <c r="R6" t="s">
        <v>33</v>
      </c>
      <c r="S6" t="s">
        <v>14</v>
      </c>
      <c r="T6">
        <v>259</v>
      </c>
      <c r="U6" t="str">
        <f>_xlfn.IFNA(_xlfn.IFS(E6&gt;Dash!$D$46, "Big", E6&lt;Dash!$D$49, "Small", E6&gt;Dash!$D$47, "Good"), "Norm")</f>
        <v>Norm</v>
      </c>
      <c r="V6" t="s">
        <v>33</v>
      </c>
      <c r="W6">
        <v>304.5</v>
      </c>
      <c r="X6" t="s">
        <v>14</v>
      </c>
    </row>
    <row r="7" spans="1:24" x14ac:dyDescent="0.25">
      <c r="A7" s="1">
        <v>45226</v>
      </c>
      <c r="B7" t="s">
        <v>26</v>
      </c>
      <c r="C7" t="s">
        <v>33</v>
      </c>
      <c r="D7">
        <v>1</v>
      </c>
      <c r="E7">
        <v>198</v>
      </c>
      <c r="J7" t="s">
        <v>34</v>
      </c>
      <c r="K7" t="s">
        <v>35</v>
      </c>
      <c r="L7" t="s">
        <v>17</v>
      </c>
      <c r="M7" t="s">
        <v>19</v>
      </c>
      <c r="N7">
        <v>7</v>
      </c>
      <c r="P7">
        <v>1100</v>
      </c>
      <c r="Q7">
        <v>1500</v>
      </c>
      <c r="R7" t="s">
        <v>24</v>
      </c>
      <c r="S7" t="s">
        <v>28</v>
      </c>
      <c r="T7">
        <v>170.25</v>
      </c>
      <c r="U7" t="str">
        <f>_xlfn.IFNA(_xlfn.IFS(E7&gt;Dash!$D$46, "Big", E7&lt;Dash!$D$49, "Small", E7&gt;Dash!$D$47, "Good"), "Norm")</f>
        <v>Norm</v>
      </c>
      <c r="V7" t="s">
        <v>33</v>
      </c>
      <c r="W7">
        <v>318.75</v>
      </c>
      <c r="X7" t="s">
        <v>47</v>
      </c>
    </row>
    <row r="8" spans="1:24" x14ac:dyDescent="0.25">
      <c r="A8" s="1">
        <v>45243</v>
      </c>
      <c r="B8" t="s">
        <v>23</v>
      </c>
      <c r="C8" t="s">
        <v>24</v>
      </c>
      <c r="D8">
        <v>1</v>
      </c>
      <c r="E8">
        <v>124.25</v>
      </c>
      <c r="J8" t="s">
        <v>34</v>
      </c>
      <c r="K8" t="s">
        <v>16</v>
      </c>
      <c r="L8" t="s">
        <v>25</v>
      </c>
      <c r="M8" t="s">
        <v>19</v>
      </c>
      <c r="N8">
        <v>9</v>
      </c>
      <c r="P8">
        <v>1400</v>
      </c>
      <c r="Q8">
        <v>1500</v>
      </c>
      <c r="R8" t="s">
        <v>13</v>
      </c>
      <c r="S8" t="s">
        <v>28</v>
      </c>
      <c r="T8">
        <v>366.75</v>
      </c>
      <c r="U8" t="str">
        <f>_xlfn.IFNA(_xlfn.IFS(E8&gt;Dash!$D$46, "Big", E8&lt;Dash!$D$49, "Small", E8&gt;Dash!$D$47, "Good"), "Norm")</f>
        <v>Small</v>
      </c>
      <c r="V8" t="s">
        <v>20</v>
      </c>
      <c r="W8">
        <v>339.25</v>
      </c>
      <c r="X8" t="s">
        <v>38</v>
      </c>
    </row>
    <row r="9" spans="1:24" x14ac:dyDescent="0.25">
      <c r="A9" s="1">
        <v>45254</v>
      </c>
      <c r="B9" t="s">
        <v>108</v>
      </c>
      <c r="C9" t="s">
        <v>24</v>
      </c>
      <c r="D9">
        <v>1</v>
      </c>
      <c r="E9">
        <v>87.5</v>
      </c>
      <c r="J9" t="s">
        <v>34</v>
      </c>
      <c r="K9" t="s">
        <v>16</v>
      </c>
      <c r="L9" t="s">
        <v>25</v>
      </c>
      <c r="M9" t="s">
        <v>19</v>
      </c>
      <c r="N9">
        <v>5</v>
      </c>
      <c r="P9">
        <v>1000</v>
      </c>
      <c r="Q9">
        <v>1300</v>
      </c>
      <c r="R9" t="s">
        <v>13</v>
      </c>
      <c r="S9" t="s">
        <v>52</v>
      </c>
      <c r="T9">
        <v>119</v>
      </c>
      <c r="U9" t="str">
        <f>_xlfn.IFNA(_xlfn.IFS(E9&gt;Dash!$D$46, "Big", E9&lt;Dash!$D$49, "Small", E9&gt;Dash!$D$47, "Good"), "Norm")</f>
        <v>Small</v>
      </c>
      <c r="V9" t="s">
        <v>41</v>
      </c>
      <c r="W9">
        <v>168</v>
      </c>
      <c r="X9" t="s">
        <v>28</v>
      </c>
    </row>
    <row r="10" spans="1:24" x14ac:dyDescent="0.25">
      <c r="A10" s="1">
        <v>45258</v>
      </c>
      <c r="B10" t="s">
        <v>19</v>
      </c>
      <c r="C10" t="s">
        <v>33</v>
      </c>
      <c r="D10">
        <v>1</v>
      </c>
      <c r="E10">
        <v>126</v>
      </c>
      <c r="J10" t="s">
        <v>34</v>
      </c>
      <c r="K10" t="s">
        <v>25</v>
      </c>
      <c r="L10" t="s">
        <v>35</v>
      </c>
      <c r="M10" t="s">
        <v>19</v>
      </c>
      <c r="N10">
        <v>8</v>
      </c>
      <c r="P10">
        <v>1300</v>
      </c>
      <c r="Q10">
        <v>1600</v>
      </c>
      <c r="R10" t="s">
        <v>33</v>
      </c>
      <c r="S10" t="s">
        <v>43</v>
      </c>
      <c r="T10">
        <v>195</v>
      </c>
      <c r="U10" t="str">
        <f>_xlfn.IFNA(_xlfn.IFS(E10&gt;Dash!$D$46, "Big", E10&lt;Dash!$D$49, "Small", E10&gt;Dash!$D$47, "Good"), "Norm")</f>
        <v>Small</v>
      </c>
      <c r="V10" t="s">
        <v>13</v>
      </c>
      <c r="W10">
        <v>119</v>
      </c>
      <c r="X10" t="s">
        <v>52</v>
      </c>
    </row>
    <row r="11" spans="1:24" x14ac:dyDescent="0.25">
      <c r="A11" s="1">
        <v>45261</v>
      </c>
      <c r="B11" t="s">
        <v>26</v>
      </c>
      <c r="C11" t="s">
        <v>33</v>
      </c>
      <c r="D11">
        <v>1</v>
      </c>
      <c r="E11">
        <v>186</v>
      </c>
      <c r="J11" t="s">
        <v>34</v>
      </c>
      <c r="K11" t="s">
        <v>25</v>
      </c>
      <c r="L11" t="s">
        <v>32</v>
      </c>
      <c r="M11" t="s">
        <v>19</v>
      </c>
      <c r="N11">
        <v>8</v>
      </c>
      <c r="P11">
        <v>1000</v>
      </c>
      <c r="Q11">
        <v>1200</v>
      </c>
      <c r="R11" t="s">
        <v>33</v>
      </c>
      <c r="S11" t="s">
        <v>14</v>
      </c>
      <c r="T11">
        <v>246.75</v>
      </c>
      <c r="U11" t="str">
        <f>_xlfn.IFNA(_xlfn.IFS(E11&gt;Dash!$D$46, "Big", E11&lt;Dash!$D$49, "Small", E11&gt;Dash!$D$47, "Good"), "Norm")</f>
        <v>Norm</v>
      </c>
      <c r="V11" t="s">
        <v>33</v>
      </c>
      <c r="W11">
        <v>242.5</v>
      </c>
      <c r="X11" t="s">
        <v>14</v>
      </c>
    </row>
    <row r="12" spans="1:24" x14ac:dyDescent="0.25">
      <c r="A12" s="1">
        <v>45265</v>
      </c>
      <c r="B12" t="s">
        <v>19</v>
      </c>
      <c r="C12" t="s">
        <v>41</v>
      </c>
      <c r="D12">
        <v>1</v>
      </c>
      <c r="E12">
        <v>192</v>
      </c>
      <c r="J12" t="s">
        <v>34</v>
      </c>
      <c r="K12" t="s">
        <v>39</v>
      </c>
      <c r="L12" t="s">
        <v>35</v>
      </c>
      <c r="M12" t="s">
        <v>19</v>
      </c>
      <c r="N12">
        <v>8</v>
      </c>
      <c r="P12">
        <v>1100</v>
      </c>
      <c r="Q12">
        <v>1200</v>
      </c>
      <c r="R12" t="s">
        <v>33</v>
      </c>
      <c r="S12" t="s">
        <v>43</v>
      </c>
      <c r="T12">
        <v>235.75</v>
      </c>
      <c r="U12" t="str">
        <f>_xlfn.IFNA(_xlfn.IFS(E12&gt;Dash!$D$46, "Big", E12&lt;Dash!$D$49, "Small", E12&gt;Dash!$D$47, "Good"), "Norm")</f>
        <v>Norm</v>
      </c>
      <c r="V12" t="s">
        <v>33</v>
      </c>
      <c r="W12">
        <v>246.75</v>
      </c>
      <c r="X12" t="s">
        <v>14</v>
      </c>
    </row>
    <row r="13" spans="1:24" x14ac:dyDescent="0.25">
      <c r="A13" s="1">
        <v>45281</v>
      </c>
      <c r="B13" t="s">
        <v>36</v>
      </c>
      <c r="C13" t="s">
        <v>24</v>
      </c>
      <c r="D13">
        <v>1</v>
      </c>
      <c r="E13">
        <v>155.25</v>
      </c>
      <c r="J13" t="s">
        <v>34</v>
      </c>
      <c r="K13" t="s">
        <v>31</v>
      </c>
      <c r="L13" t="s">
        <v>35</v>
      </c>
      <c r="M13" t="s">
        <v>18</v>
      </c>
      <c r="N13">
        <v>5</v>
      </c>
      <c r="P13">
        <v>1300</v>
      </c>
      <c r="Q13">
        <v>1500</v>
      </c>
      <c r="R13" t="s">
        <v>24</v>
      </c>
      <c r="S13" t="s">
        <v>43</v>
      </c>
      <c r="T13">
        <v>145.5</v>
      </c>
      <c r="U13" t="str">
        <f>_xlfn.IFNA(_xlfn.IFS(E13&gt;Dash!$D$46, "Big", E13&lt;Dash!$D$49, "Small", E13&gt;Dash!$D$47, "Good"), "Norm")</f>
        <v>Small</v>
      </c>
      <c r="V13" t="s">
        <v>33</v>
      </c>
      <c r="W13">
        <v>313.25</v>
      </c>
      <c r="X13" t="s">
        <v>57</v>
      </c>
    </row>
    <row r="14" spans="1:24" x14ac:dyDescent="0.25">
      <c r="A14" s="1">
        <v>45303</v>
      </c>
      <c r="B14" t="s">
        <v>26</v>
      </c>
      <c r="C14" t="s">
        <v>41</v>
      </c>
      <c r="D14">
        <v>1</v>
      </c>
      <c r="E14">
        <v>147.25</v>
      </c>
      <c r="J14" t="s">
        <v>34</v>
      </c>
      <c r="K14" t="s">
        <v>39</v>
      </c>
      <c r="L14" t="s">
        <v>35</v>
      </c>
      <c r="M14" t="s">
        <v>36</v>
      </c>
      <c r="N14">
        <v>6</v>
      </c>
      <c r="R14" t="s">
        <v>41</v>
      </c>
      <c r="S14" t="s">
        <v>46</v>
      </c>
      <c r="T14">
        <v>178.75</v>
      </c>
      <c r="U14" t="str">
        <f>_xlfn.IFNA(_xlfn.IFS(E14&gt;Dash!$D$46, "Big", E14&lt;Dash!$D$49, "Small", E14&gt;Dash!$D$47, "Good"), "Norm")</f>
        <v>Small</v>
      </c>
      <c r="V14" t="s">
        <v>33</v>
      </c>
      <c r="W14">
        <v>304</v>
      </c>
      <c r="X14" t="s">
        <v>38</v>
      </c>
    </row>
    <row r="15" spans="1:24" x14ac:dyDescent="0.25">
      <c r="A15" s="1">
        <v>45327</v>
      </c>
      <c r="B15" t="s">
        <v>23</v>
      </c>
      <c r="C15" t="s">
        <v>33</v>
      </c>
      <c r="D15">
        <v>1</v>
      </c>
      <c r="E15">
        <v>191.25</v>
      </c>
      <c r="J15" t="s">
        <v>34</v>
      </c>
      <c r="K15" t="s">
        <v>25</v>
      </c>
      <c r="L15" t="s">
        <v>32</v>
      </c>
      <c r="M15" t="s">
        <v>23</v>
      </c>
      <c r="N15">
        <v>2</v>
      </c>
      <c r="R15" t="s">
        <v>20</v>
      </c>
      <c r="S15" t="s">
        <v>43</v>
      </c>
      <c r="T15">
        <v>207</v>
      </c>
      <c r="U15" t="str">
        <f>_xlfn.IFNA(_xlfn.IFS(E15&gt;Dash!$D$46, "Big", E15&lt;Dash!$D$49, "Small", E15&gt;Dash!$D$47, "Good"), "Norm")</f>
        <v>Norm</v>
      </c>
      <c r="V15" t="s">
        <v>33</v>
      </c>
      <c r="W15">
        <v>310</v>
      </c>
      <c r="X15" t="s">
        <v>28</v>
      </c>
    </row>
    <row r="16" spans="1:24" x14ac:dyDescent="0.25">
      <c r="A16" s="1">
        <v>45336</v>
      </c>
      <c r="B16" t="s">
        <v>18</v>
      </c>
      <c r="C16" t="s">
        <v>13</v>
      </c>
      <c r="D16">
        <v>1</v>
      </c>
      <c r="E16">
        <v>196.75</v>
      </c>
      <c r="J16" t="s">
        <v>34</v>
      </c>
      <c r="K16" t="s">
        <v>31</v>
      </c>
      <c r="L16" t="s">
        <v>32</v>
      </c>
      <c r="M16" t="s">
        <v>19</v>
      </c>
      <c r="N16">
        <v>10</v>
      </c>
      <c r="R16" t="s">
        <v>33</v>
      </c>
      <c r="S16" t="s">
        <v>28</v>
      </c>
      <c r="T16">
        <v>153</v>
      </c>
      <c r="U16" t="str">
        <f>_xlfn.IFNA(_xlfn.IFS(E16&gt;Dash!$D$46, "Big", E16&lt;Dash!$D$49, "Small", E16&gt;Dash!$D$47, "Good"), "Norm")</f>
        <v>Norm</v>
      </c>
      <c r="V16" t="s">
        <v>20</v>
      </c>
      <c r="W16">
        <v>328</v>
      </c>
      <c r="X16" t="s">
        <v>14</v>
      </c>
    </row>
    <row r="17" spans="1:24" x14ac:dyDescent="0.25">
      <c r="A17" s="1">
        <v>45357</v>
      </c>
      <c r="B17" t="s">
        <v>18</v>
      </c>
      <c r="C17" t="s">
        <v>13</v>
      </c>
      <c r="D17">
        <v>1</v>
      </c>
      <c r="E17">
        <v>210.75</v>
      </c>
      <c r="J17" t="s">
        <v>34</v>
      </c>
      <c r="K17" t="s">
        <v>31</v>
      </c>
      <c r="L17" t="s">
        <v>32</v>
      </c>
      <c r="M17" t="s">
        <v>19</v>
      </c>
      <c r="N17">
        <v>9</v>
      </c>
      <c r="R17" t="s">
        <v>20</v>
      </c>
      <c r="S17" t="s">
        <v>38</v>
      </c>
      <c r="T17">
        <v>254.75</v>
      </c>
      <c r="U17" t="str">
        <f>_xlfn.IFNA(_xlfn.IFS(E17&gt;Dash!$D$46, "Big", E17&lt;Dash!$D$49, "Small", E17&gt;Dash!$D$47, "Good"), "Norm")</f>
        <v>Norm</v>
      </c>
      <c r="V17" t="s">
        <v>13</v>
      </c>
      <c r="W17">
        <v>343.25</v>
      </c>
      <c r="X17" t="s">
        <v>14</v>
      </c>
    </row>
    <row r="18" spans="1:24" x14ac:dyDescent="0.25">
      <c r="A18" s="1">
        <v>45362</v>
      </c>
      <c r="B18" t="s">
        <v>23</v>
      </c>
      <c r="C18" t="s">
        <v>41</v>
      </c>
      <c r="D18">
        <v>1</v>
      </c>
      <c r="E18">
        <v>133.25</v>
      </c>
      <c r="J18" t="s">
        <v>34</v>
      </c>
      <c r="K18" t="s">
        <v>22</v>
      </c>
      <c r="L18" t="s">
        <v>25</v>
      </c>
      <c r="M18" t="s">
        <v>19</v>
      </c>
      <c r="N18">
        <v>12</v>
      </c>
      <c r="R18" t="s">
        <v>33</v>
      </c>
      <c r="S18" t="s">
        <v>28</v>
      </c>
      <c r="T18">
        <v>317</v>
      </c>
      <c r="U18" t="str">
        <f>_xlfn.IFNA(_xlfn.IFS(E18&gt;Dash!$D$46, "Big", E18&lt;Dash!$D$49, "Small", E18&gt;Dash!$D$47, "Good"), "Norm")</f>
        <v>Small</v>
      </c>
      <c r="V18" t="s">
        <v>33</v>
      </c>
      <c r="W18">
        <v>424</v>
      </c>
      <c r="X18" t="s">
        <v>43</v>
      </c>
    </row>
    <row r="19" spans="1:24" x14ac:dyDescent="0.25">
      <c r="A19" s="1">
        <v>45379</v>
      </c>
      <c r="B19" t="s">
        <v>36</v>
      </c>
      <c r="C19" t="s">
        <v>33</v>
      </c>
      <c r="D19">
        <v>1</v>
      </c>
      <c r="E19">
        <v>90</v>
      </c>
      <c r="J19" t="s">
        <v>34</v>
      </c>
      <c r="K19" t="s">
        <v>35</v>
      </c>
      <c r="L19" t="s">
        <v>17</v>
      </c>
      <c r="M19" t="s">
        <v>19</v>
      </c>
      <c r="N19">
        <v>6</v>
      </c>
      <c r="R19" t="s">
        <v>13</v>
      </c>
      <c r="S19" t="s">
        <v>48</v>
      </c>
      <c r="T19">
        <v>192.5</v>
      </c>
      <c r="U19" t="str">
        <f>_xlfn.IFNA(_xlfn.IFS(E19&gt;Dash!$D$46, "Big", E19&lt;Dash!$D$49, "Small", E19&gt;Dash!$D$47, "Good"), "Norm")</f>
        <v>Small</v>
      </c>
      <c r="V19" t="s">
        <v>33</v>
      </c>
      <c r="W19">
        <v>193.25</v>
      </c>
      <c r="X19" t="s">
        <v>46</v>
      </c>
    </row>
    <row r="20" spans="1:24" x14ac:dyDescent="0.25">
      <c r="A20" s="1">
        <v>45385</v>
      </c>
      <c r="B20" t="s">
        <v>18</v>
      </c>
      <c r="C20" t="s">
        <v>33</v>
      </c>
      <c r="D20">
        <v>1</v>
      </c>
      <c r="E20">
        <v>219.25</v>
      </c>
      <c r="J20" t="s">
        <v>34</v>
      </c>
      <c r="K20" t="s">
        <v>25</v>
      </c>
      <c r="L20" t="s">
        <v>35</v>
      </c>
      <c r="M20" t="s">
        <v>23</v>
      </c>
      <c r="N20">
        <v>9</v>
      </c>
      <c r="R20" t="s">
        <v>33</v>
      </c>
      <c r="S20" t="s">
        <v>48</v>
      </c>
      <c r="T20">
        <v>498.75</v>
      </c>
      <c r="U20" t="str">
        <f>_xlfn.IFNA(_xlfn.IFS(E20&gt;Dash!$D$46, "Big", E20&lt;Dash!$D$49, "Small", E20&gt;Dash!$D$47, "Good"), "Norm")</f>
        <v>Norm</v>
      </c>
      <c r="V20" t="s">
        <v>41</v>
      </c>
      <c r="W20">
        <v>213</v>
      </c>
      <c r="X20" t="s">
        <v>14</v>
      </c>
    </row>
    <row r="21" spans="1:24" x14ac:dyDescent="0.25">
      <c r="A21" s="1">
        <v>45390</v>
      </c>
      <c r="B21" t="s">
        <v>23</v>
      </c>
      <c r="C21" t="s">
        <v>33</v>
      </c>
      <c r="D21">
        <v>1</v>
      </c>
      <c r="E21">
        <v>138.5</v>
      </c>
      <c r="J21" t="s">
        <v>34</v>
      </c>
      <c r="K21" t="s">
        <v>25</v>
      </c>
      <c r="L21" t="s">
        <v>35</v>
      </c>
      <c r="M21" t="s">
        <v>18</v>
      </c>
      <c r="N21">
        <v>9</v>
      </c>
      <c r="R21" t="s">
        <v>33</v>
      </c>
      <c r="S21" t="s">
        <v>53</v>
      </c>
      <c r="T21">
        <v>244.25</v>
      </c>
      <c r="U21" t="str">
        <f>_xlfn.IFNA(_xlfn.IFS(E21&gt;Dash!$D$46, "Big", E21&lt;Dash!$D$49, "Small", E21&gt;Dash!$D$47, "Good"), "Norm")</f>
        <v>Small</v>
      </c>
      <c r="V21" t="s">
        <v>33</v>
      </c>
      <c r="W21">
        <v>356.75</v>
      </c>
      <c r="X21" t="s">
        <v>46</v>
      </c>
    </row>
    <row r="22" spans="1:24" x14ac:dyDescent="0.25">
      <c r="A22" s="1">
        <v>45394</v>
      </c>
      <c r="B22" t="s">
        <v>26</v>
      </c>
      <c r="C22" t="s">
        <v>20</v>
      </c>
      <c r="D22">
        <v>1</v>
      </c>
      <c r="E22">
        <v>309</v>
      </c>
      <c r="J22" t="s">
        <v>34</v>
      </c>
      <c r="K22" t="s">
        <v>22</v>
      </c>
      <c r="L22" t="s">
        <v>17</v>
      </c>
      <c r="M22" t="s">
        <v>18</v>
      </c>
      <c r="N22">
        <v>9</v>
      </c>
      <c r="R22" t="s">
        <v>33</v>
      </c>
      <c r="S22" t="s">
        <v>14</v>
      </c>
      <c r="T22">
        <v>509.25</v>
      </c>
      <c r="U22" t="str">
        <f>_xlfn.IFNA(_xlfn.IFS(E22&gt;Dash!$D$46, "Big", E22&lt;Dash!$D$49, "Small", E22&gt;Dash!$D$47, "Good"), "Norm")</f>
        <v>Good</v>
      </c>
      <c r="V22" t="s">
        <v>33</v>
      </c>
      <c r="W22">
        <v>430.75</v>
      </c>
      <c r="X22" t="s">
        <v>28</v>
      </c>
    </row>
    <row r="23" spans="1:24" x14ac:dyDescent="0.25">
      <c r="A23" s="1">
        <v>45404</v>
      </c>
      <c r="B23" t="s">
        <v>23</v>
      </c>
      <c r="C23" t="s">
        <v>33</v>
      </c>
      <c r="D23">
        <v>1</v>
      </c>
      <c r="E23">
        <v>299.5</v>
      </c>
      <c r="J23" t="s">
        <v>34</v>
      </c>
      <c r="K23" t="s">
        <v>25</v>
      </c>
      <c r="L23" t="s">
        <v>32</v>
      </c>
      <c r="M23" t="s">
        <v>19</v>
      </c>
      <c r="N23">
        <v>7</v>
      </c>
      <c r="R23" t="s">
        <v>13</v>
      </c>
      <c r="S23" t="s">
        <v>28</v>
      </c>
      <c r="T23">
        <v>297.25</v>
      </c>
      <c r="U23" t="str">
        <f>_xlfn.IFNA(_xlfn.IFS(E23&gt;Dash!$D$46, "Big", E23&lt;Dash!$D$49, "Small", E23&gt;Dash!$D$47, "Good"), "Norm")</f>
        <v>Good</v>
      </c>
      <c r="V23" t="s">
        <v>33</v>
      </c>
      <c r="W23">
        <v>440</v>
      </c>
      <c r="X23" t="s">
        <v>14</v>
      </c>
    </row>
    <row r="24" spans="1:24" x14ac:dyDescent="0.25">
      <c r="A24" s="1">
        <v>45421</v>
      </c>
      <c r="B24" t="s">
        <v>36</v>
      </c>
      <c r="C24" t="s">
        <v>20</v>
      </c>
      <c r="D24">
        <v>1</v>
      </c>
      <c r="E24">
        <v>130.5</v>
      </c>
      <c r="J24" t="s">
        <v>34</v>
      </c>
      <c r="K24" t="s">
        <v>39</v>
      </c>
      <c r="L24" t="s">
        <v>32</v>
      </c>
      <c r="M24" t="s">
        <v>36</v>
      </c>
      <c r="N24">
        <v>3</v>
      </c>
      <c r="R24" t="s">
        <v>33</v>
      </c>
      <c r="S24" t="s">
        <v>28</v>
      </c>
      <c r="T24">
        <v>159.5</v>
      </c>
      <c r="U24" t="str">
        <f>_xlfn.IFNA(_xlfn.IFS(E24&gt;Dash!$D$46, "Big", E24&lt;Dash!$D$49, "Small", E24&gt;Dash!$D$47, "Good"), "Norm")</f>
        <v>Small</v>
      </c>
      <c r="V24" t="s">
        <v>33</v>
      </c>
      <c r="W24">
        <v>169.75</v>
      </c>
      <c r="X24" t="s">
        <v>14</v>
      </c>
    </row>
    <row r="25" spans="1:24" x14ac:dyDescent="0.25">
      <c r="A25" s="1">
        <v>45425</v>
      </c>
      <c r="B25" t="s">
        <v>23</v>
      </c>
      <c r="C25" t="s">
        <v>24</v>
      </c>
      <c r="D25">
        <v>1</v>
      </c>
      <c r="E25">
        <v>101.25</v>
      </c>
      <c r="J25" t="s">
        <v>34</v>
      </c>
      <c r="K25" t="s">
        <v>31</v>
      </c>
      <c r="L25" t="s">
        <v>35</v>
      </c>
      <c r="M25" t="s">
        <v>19</v>
      </c>
      <c r="N25">
        <v>10</v>
      </c>
      <c r="R25" t="s">
        <v>33</v>
      </c>
      <c r="S25" t="s">
        <v>53</v>
      </c>
      <c r="T25">
        <v>267.5</v>
      </c>
      <c r="U25" t="str">
        <f>_xlfn.IFNA(_xlfn.IFS(E25&gt;Dash!$D$46, "Big", E25&lt;Dash!$D$49, "Small", E25&gt;Dash!$D$47, "Good"), "Norm")</f>
        <v>Small</v>
      </c>
      <c r="V25" t="s">
        <v>33</v>
      </c>
      <c r="W25">
        <v>159.5</v>
      </c>
      <c r="X25" t="s">
        <v>28</v>
      </c>
    </row>
    <row r="26" spans="1:24" x14ac:dyDescent="0.25">
      <c r="A26" s="1">
        <v>45436</v>
      </c>
      <c r="B26" t="s">
        <v>26</v>
      </c>
      <c r="C26" t="s">
        <v>13</v>
      </c>
      <c r="D26">
        <v>1</v>
      </c>
      <c r="E26">
        <v>202.5</v>
      </c>
      <c r="J26" t="s">
        <v>34</v>
      </c>
      <c r="K26" t="s">
        <v>31</v>
      </c>
      <c r="L26" t="s">
        <v>32</v>
      </c>
      <c r="M26" t="s">
        <v>18</v>
      </c>
      <c r="N26">
        <v>5</v>
      </c>
      <c r="R26" t="s">
        <v>20</v>
      </c>
      <c r="S26" t="s">
        <v>53</v>
      </c>
      <c r="T26">
        <v>126</v>
      </c>
      <c r="U26" t="str">
        <f>_xlfn.IFNA(_xlfn.IFS(E26&gt;Dash!$D$46, "Big", E26&lt;Dash!$D$49, "Small", E26&gt;Dash!$D$47, "Good"), "Norm")</f>
        <v>Norm</v>
      </c>
      <c r="V26" t="s">
        <v>33</v>
      </c>
      <c r="W26">
        <v>401.75</v>
      </c>
      <c r="X26" t="s">
        <v>48</v>
      </c>
    </row>
    <row r="27" spans="1:24" x14ac:dyDescent="0.25">
      <c r="A27" s="1">
        <v>45447</v>
      </c>
      <c r="B27" t="s">
        <v>19</v>
      </c>
      <c r="C27" t="s">
        <v>20</v>
      </c>
      <c r="D27">
        <v>1</v>
      </c>
      <c r="E27">
        <v>191</v>
      </c>
      <c r="J27" t="s">
        <v>34</v>
      </c>
      <c r="K27" t="s">
        <v>39</v>
      </c>
      <c r="L27" t="s">
        <v>32</v>
      </c>
      <c r="M27" t="s">
        <v>23</v>
      </c>
      <c r="N27">
        <v>9</v>
      </c>
      <c r="R27" t="s">
        <v>13</v>
      </c>
      <c r="S27" t="s">
        <v>28</v>
      </c>
      <c r="T27">
        <v>301.5</v>
      </c>
      <c r="U27" t="str">
        <f>_xlfn.IFNA(_xlfn.IFS(E27&gt;Dash!$D$46, "Big", E27&lt;Dash!$D$49, "Small", E27&gt;Dash!$D$47, "Good"), "Norm")</f>
        <v>Norm</v>
      </c>
      <c r="V27" t="s">
        <v>33</v>
      </c>
      <c r="W27">
        <v>319.75</v>
      </c>
      <c r="X27" t="s">
        <v>28</v>
      </c>
    </row>
    <row r="28" spans="1:24" x14ac:dyDescent="0.25">
      <c r="A28" s="1">
        <v>45453</v>
      </c>
      <c r="B28" t="s">
        <v>23</v>
      </c>
      <c r="C28" t="s">
        <v>20</v>
      </c>
      <c r="D28">
        <v>1</v>
      </c>
      <c r="E28">
        <v>152</v>
      </c>
      <c r="J28" t="s">
        <v>34</v>
      </c>
      <c r="K28" t="s">
        <v>39</v>
      </c>
      <c r="L28" t="s">
        <v>32</v>
      </c>
      <c r="M28" t="s">
        <v>18</v>
      </c>
      <c r="N28">
        <v>11</v>
      </c>
      <c r="R28" t="s">
        <v>33</v>
      </c>
      <c r="S28" t="s">
        <v>28</v>
      </c>
      <c r="T28">
        <v>253</v>
      </c>
      <c r="U28" t="str">
        <f>_xlfn.IFNA(_xlfn.IFS(E28&gt;Dash!$D$46, "Big", E28&lt;Dash!$D$49, "Small", E28&gt;Dash!$D$47, "Good"), "Norm")</f>
        <v>Small</v>
      </c>
      <c r="V28" t="s">
        <v>33</v>
      </c>
      <c r="W28">
        <v>215</v>
      </c>
      <c r="X28" t="s">
        <v>48</v>
      </c>
    </row>
    <row r="29" spans="1:24" x14ac:dyDescent="0.25">
      <c r="A29" s="1">
        <v>45461</v>
      </c>
      <c r="B29" t="s">
        <v>19</v>
      </c>
      <c r="C29" t="s">
        <v>33</v>
      </c>
      <c r="D29">
        <v>1</v>
      </c>
      <c r="E29">
        <v>143.5</v>
      </c>
      <c r="J29" t="s">
        <v>34</v>
      </c>
      <c r="K29" t="s">
        <v>35</v>
      </c>
      <c r="L29" t="s">
        <v>25</v>
      </c>
      <c r="M29" t="s">
        <v>19</v>
      </c>
      <c r="N29">
        <v>7</v>
      </c>
      <c r="R29" t="s">
        <v>20</v>
      </c>
      <c r="S29" t="s">
        <v>48</v>
      </c>
      <c r="T29">
        <v>347.5</v>
      </c>
      <c r="U29" t="str">
        <f>_xlfn.IFNA(_xlfn.IFS(E29&gt;Dash!$D$46, "Big", E29&lt;Dash!$D$49, "Small", E29&gt;Dash!$D$47, "Good"), "Norm")</f>
        <v>Small</v>
      </c>
      <c r="V29" t="s">
        <v>33</v>
      </c>
      <c r="W29">
        <v>367.25</v>
      </c>
      <c r="X29" t="s">
        <v>40</v>
      </c>
    </row>
    <row r="30" spans="1:24" x14ac:dyDescent="0.25">
      <c r="A30" s="1">
        <v>45499</v>
      </c>
      <c r="B30" t="s">
        <v>26</v>
      </c>
      <c r="C30" t="s">
        <v>13</v>
      </c>
      <c r="D30">
        <v>1</v>
      </c>
      <c r="E30">
        <v>257.5</v>
      </c>
      <c r="J30" t="s">
        <v>34</v>
      </c>
      <c r="K30" t="s">
        <v>31</v>
      </c>
      <c r="L30" t="s">
        <v>32</v>
      </c>
      <c r="M30" t="s">
        <v>18</v>
      </c>
      <c r="N30">
        <v>5</v>
      </c>
      <c r="R30" t="s">
        <v>33</v>
      </c>
      <c r="S30" t="s">
        <v>43</v>
      </c>
      <c r="T30">
        <v>264</v>
      </c>
      <c r="U30" t="str">
        <f>_xlfn.IFNA(_xlfn.IFS(E30&gt;Dash!$D$46, "Big", E30&lt;Dash!$D$49, "Small", E30&gt;Dash!$D$47, "Good"), "Norm")</f>
        <v>Good</v>
      </c>
      <c r="V30" t="s">
        <v>33</v>
      </c>
      <c r="W30">
        <v>507.25</v>
      </c>
      <c r="X30" t="s">
        <v>14</v>
      </c>
    </row>
    <row r="31" spans="1:24" x14ac:dyDescent="0.25">
      <c r="A31" s="1">
        <v>45527</v>
      </c>
      <c r="B31" t="s">
        <v>26</v>
      </c>
      <c r="C31" t="s">
        <v>33</v>
      </c>
      <c r="D31">
        <v>1</v>
      </c>
      <c r="E31">
        <v>312.5</v>
      </c>
      <c r="J31" t="s">
        <v>34</v>
      </c>
      <c r="K31" t="s">
        <v>35</v>
      </c>
      <c r="L31" t="s">
        <v>17</v>
      </c>
      <c r="M31" t="s">
        <v>18</v>
      </c>
      <c r="N31">
        <v>6</v>
      </c>
      <c r="R31" t="s">
        <v>41</v>
      </c>
      <c r="S31" t="s">
        <v>14</v>
      </c>
      <c r="T31">
        <v>296</v>
      </c>
      <c r="U31" t="str">
        <f>_xlfn.IFNA(_xlfn.IFS(E31&gt;Dash!$D$46, "Big", E31&lt;Dash!$D$49, "Small", E31&gt;Dash!$D$47, "Good"), "Norm")</f>
        <v>Good</v>
      </c>
      <c r="V31" t="s">
        <v>33</v>
      </c>
      <c r="W31">
        <v>483.25</v>
      </c>
      <c r="X31" t="s">
        <v>48</v>
      </c>
    </row>
    <row r="32" spans="1:24" x14ac:dyDescent="0.25">
      <c r="A32" s="1">
        <v>45534</v>
      </c>
      <c r="B32" t="s">
        <v>26</v>
      </c>
      <c r="C32" t="s">
        <v>33</v>
      </c>
      <c r="D32">
        <v>1</v>
      </c>
      <c r="E32">
        <v>262.25</v>
      </c>
      <c r="J32" t="s">
        <v>34</v>
      </c>
      <c r="K32" t="s">
        <v>17</v>
      </c>
      <c r="L32" t="s">
        <v>32</v>
      </c>
      <c r="M32" t="s">
        <v>19</v>
      </c>
      <c r="N32">
        <v>4</v>
      </c>
      <c r="R32" t="s">
        <v>13</v>
      </c>
      <c r="S32" t="s">
        <v>48</v>
      </c>
      <c r="T32">
        <v>611.25</v>
      </c>
      <c r="U32" t="str">
        <f>_xlfn.IFNA(_xlfn.IFS(E32&gt;Dash!$D$46, "Big", E32&lt;Dash!$D$49, "Small", E32&gt;Dash!$D$47, "Good"), "Norm")</f>
        <v>Good</v>
      </c>
      <c r="V32" t="s">
        <v>24</v>
      </c>
      <c r="W32">
        <v>356.5</v>
      </c>
      <c r="X32" t="s">
        <v>47</v>
      </c>
    </row>
    <row r="33" spans="1:24" x14ac:dyDescent="0.25">
      <c r="A33" s="1">
        <v>45544</v>
      </c>
      <c r="B33" t="s">
        <v>23</v>
      </c>
      <c r="C33" t="s">
        <v>13</v>
      </c>
      <c r="D33">
        <v>1</v>
      </c>
      <c r="E33">
        <v>232.75</v>
      </c>
      <c r="J33" t="s">
        <v>34</v>
      </c>
      <c r="K33" t="s">
        <v>31</v>
      </c>
      <c r="L33" t="s">
        <v>32</v>
      </c>
      <c r="M33" t="s">
        <v>18</v>
      </c>
      <c r="N33">
        <v>6</v>
      </c>
      <c r="R33" t="s">
        <v>20</v>
      </c>
      <c r="S33" t="s">
        <v>28</v>
      </c>
      <c r="T33">
        <v>288.75</v>
      </c>
      <c r="U33" t="str">
        <f>_xlfn.IFNA(_xlfn.IFS(E33&gt;Dash!$D$46, "Big", E33&lt;Dash!$D$49, "Small", E33&gt;Dash!$D$47, "Good"), "Norm")</f>
        <v>Norm</v>
      </c>
      <c r="V33" t="s">
        <v>33</v>
      </c>
      <c r="W33">
        <v>542</v>
      </c>
      <c r="X33" t="s">
        <v>14</v>
      </c>
    </row>
    <row r="34" spans="1:24" x14ac:dyDescent="0.25">
      <c r="A34" s="1">
        <v>45555</v>
      </c>
      <c r="B34" t="s">
        <v>26</v>
      </c>
      <c r="C34" t="s">
        <v>33</v>
      </c>
      <c r="D34">
        <v>1</v>
      </c>
      <c r="E34">
        <v>224</v>
      </c>
      <c r="J34" t="s">
        <v>34</v>
      </c>
      <c r="K34" t="s">
        <v>25</v>
      </c>
      <c r="L34" t="s">
        <v>32</v>
      </c>
      <c r="M34" t="s">
        <v>19</v>
      </c>
      <c r="N34">
        <v>7</v>
      </c>
      <c r="O34" t="s">
        <v>67</v>
      </c>
      <c r="R34">
        <v>0</v>
      </c>
      <c r="S34" t="s">
        <v>28</v>
      </c>
      <c r="T34">
        <v>108</v>
      </c>
      <c r="U34" t="str">
        <f>_xlfn.IFNA(_xlfn.IFS(E34&gt;Dash!$D$46, "Big", E34&lt;Dash!$D$49, "Small", E34&gt;Dash!$D$47, "Good"), "Norm")</f>
        <v>Norm</v>
      </c>
      <c r="V34" t="s">
        <v>13</v>
      </c>
      <c r="W34">
        <v>239</v>
      </c>
      <c r="X34" t="s">
        <v>28</v>
      </c>
    </row>
    <row r="35" spans="1:24" x14ac:dyDescent="0.25">
      <c r="A35" s="1">
        <v>45567</v>
      </c>
      <c r="B35" t="s">
        <v>18</v>
      </c>
      <c r="C35" t="s">
        <v>33</v>
      </c>
      <c r="D35">
        <v>1</v>
      </c>
      <c r="E35">
        <v>256.75</v>
      </c>
      <c r="J35" t="s">
        <v>34</v>
      </c>
      <c r="K35" t="s">
        <v>25</v>
      </c>
      <c r="L35" t="s">
        <v>35</v>
      </c>
      <c r="M35" t="s">
        <v>23</v>
      </c>
      <c r="N35">
        <v>9</v>
      </c>
      <c r="R35" t="s">
        <v>41</v>
      </c>
      <c r="S35" t="s">
        <v>43</v>
      </c>
      <c r="T35">
        <v>234.75</v>
      </c>
      <c r="U35" t="str">
        <f>_xlfn.IFNA(_xlfn.IFS(E35&gt;Dash!$D$46, "Big", E35&lt;Dash!$D$49, "Small", E35&gt;Dash!$D$47, "Good"), "Norm")</f>
        <v>Good</v>
      </c>
      <c r="V35" t="s">
        <v>24</v>
      </c>
      <c r="W35">
        <v>468.5</v>
      </c>
      <c r="X35" t="s">
        <v>48</v>
      </c>
    </row>
    <row r="36" spans="1:24" x14ac:dyDescent="0.25">
      <c r="A36" s="1">
        <v>45576</v>
      </c>
      <c r="B36" t="s">
        <v>26</v>
      </c>
      <c r="C36" t="s">
        <v>33</v>
      </c>
      <c r="D36">
        <v>1</v>
      </c>
      <c r="E36">
        <v>179.5</v>
      </c>
      <c r="J36" t="s">
        <v>34</v>
      </c>
      <c r="K36" t="s">
        <v>25</v>
      </c>
      <c r="L36" t="s">
        <v>35</v>
      </c>
      <c r="M36" t="s">
        <v>18</v>
      </c>
      <c r="N36">
        <v>7</v>
      </c>
      <c r="R36" t="s">
        <v>24</v>
      </c>
      <c r="S36" t="s">
        <v>28</v>
      </c>
      <c r="T36">
        <v>177.5</v>
      </c>
      <c r="U36" t="str">
        <f>_xlfn.IFNA(_xlfn.IFS(E36&gt;Dash!$D$46, "Big", E36&lt;Dash!$D$49, "Small", E36&gt;Dash!$D$47, "Good"), "Norm")</f>
        <v>Norm</v>
      </c>
      <c r="V36" t="s">
        <v>33</v>
      </c>
      <c r="W36">
        <v>206.75</v>
      </c>
      <c r="X36" t="s">
        <v>43</v>
      </c>
    </row>
    <row r="37" spans="1:24" x14ac:dyDescent="0.25">
      <c r="A37" s="1">
        <v>45583</v>
      </c>
      <c r="B37" t="s">
        <v>26</v>
      </c>
      <c r="C37" t="s">
        <v>24</v>
      </c>
      <c r="D37">
        <v>1</v>
      </c>
      <c r="E37">
        <v>96.75</v>
      </c>
      <c r="J37" t="s">
        <v>34</v>
      </c>
      <c r="K37" t="s">
        <v>31</v>
      </c>
      <c r="L37" t="s">
        <v>35</v>
      </c>
      <c r="M37" t="s">
        <v>36</v>
      </c>
      <c r="N37">
        <v>3</v>
      </c>
      <c r="R37" t="s">
        <v>41</v>
      </c>
      <c r="S37" t="s">
        <v>28</v>
      </c>
      <c r="T37">
        <v>209.5</v>
      </c>
      <c r="U37" t="str">
        <f>_xlfn.IFNA(_xlfn.IFS(E37&gt;Dash!$D$46, "Big", E37&lt;Dash!$D$49, "Small", E37&gt;Dash!$D$47, "Good"), "Norm")</f>
        <v>Small</v>
      </c>
      <c r="V37" t="s">
        <v>24</v>
      </c>
      <c r="W37">
        <v>241</v>
      </c>
      <c r="X37" t="s">
        <v>28</v>
      </c>
    </row>
    <row r="38" spans="1:24" x14ac:dyDescent="0.25">
      <c r="A38" s="1">
        <v>45589</v>
      </c>
      <c r="B38" t="s">
        <v>36</v>
      </c>
      <c r="C38" t="s">
        <v>33</v>
      </c>
      <c r="D38">
        <v>1</v>
      </c>
      <c r="E38">
        <v>166.75</v>
      </c>
      <c r="J38" t="s">
        <v>34</v>
      </c>
      <c r="K38" t="s">
        <v>35</v>
      </c>
      <c r="L38" t="s">
        <v>25</v>
      </c>
      <c r="M38" t="s">
        <v>36</v>
      </c>
      <c r="N38">
        <v>3</v>
      </c>
      <c r="R38" t="s">
        <v>24</v>
      </c>
      <c r="S38" t="s">
        <v>28</v>
      </c>
      <c r="T38">
        <v>264.25</v>
      </c>
      <c r="U38" t="str">
        <f>_xlfn.IFNA(_xlfn.IFS(E38&gt;Dash!$D$46, "Big", E38&lt;Dash!$D$49, "Small", E38&gt;Dash!$D$47, "Good"), "Norm")</f>
        <v>Norm</v>
      </c>
      <c r="V38" t="s">
        <v>20</v>
      </c>
      <c r="W38">
        <v>415.5</v>
      </c>
      <c r="X38" t="s">
        <v>14</v>
      </c>
    </row>
    <row r="39" spans="1:24" x14ac:dyDescent="0.25">
      <c r="A39" s="1">
        <v>45593</v>
      </c>
      <c r="B39" t="s">
        <v>23</v>
      </c>
      <c r="C39" t="s">
        <v>20</v>
      </c>
      <c r="D39">
        <v>1</v>
      </c>
      <c r="E39">
        <v>179.75</v>
      </c>
      <c r="J39" t="s">
        <v>34</v>
      </c>
      <c r="K39" t="s">
        <v>22</v>
      </c>
      <c r="L39" t="s">
        <v>17</v>
      </c>
      <c r="M39" t="s">
        <v>19</v>
      </c>
      <c r="N39">
        <v>11</v>
      </c>
      <c r="R39" t="s">
        <v>33</v>
      </c>
      <c r="S39" t="s">
        <v>38</v>
      </c>
      <c r="T39">
        <v>314.25</v>
      </c>
      <c r="U39" t="str">
        <f>_xlfn.IFNA(_xlfn.IFS(E39&gt;Dash!$D$46, "Big", E39&lt;Dash!$D$49, "Small", E39&gt;Dash!$D$47, "Good"), "Norm")</f>
        <v>Norm</v>
      </c>
      <c r="V39" t="s">
        <v>24</v>
      </c>
      <c r="W39">
        <v>264.25</v>
      </c>
      <c r="X39" t="s">
        <v>28</v>
      </c>
    </row>
    <row r="40" spans="1:24" x14ac:dyDescent="0.25">
      <c r="A40" s="1">
        <v>45597</v>
      </c>
      <c r="B40" t="s">
        <v>26</v>
      </c>
      <c r="C40" t="s">
        <v>24</v>
      </c>
      <c r="D40">
        <v>1</v>
      </c>
      <c r="E40">
        <v>230.5</v>
      </c>
      <c r="J40" t="s">
        <v>34</v>
      </c>
      <c r="K40" t="s">
        <v>31</v>
      </c>
      <c r="L40" t="s">
        <v>35</v>
      </c>
      <c r="M40" t="s">
        <v>19</v>
      </c>
      <c r="N40">
        <v>11</v>
      </c>
      <c r="R40" t="s">
        <v>24</v>
      </c>
      <c r="S40" t="s">
        <v>14</v>
      </c>
      <c r="T40">
        <v>213.75</v>
      </c>
      <c r="U40" t="str">
        <f>_xlfn.IFNA(_xlfn.IFS(E40&gt;Dash!$D$46, "Big", E40&lt;Dash!$D$49, "Small", E40&gt;Dash!$D$47, "Good"), "Norm")</f>
        <v>Norm</v>
      </c>
      <c r="V40" t="s">
        <v>13</v>
      </c>
      <c r="W40">
        <v>407.75</v>
      </c>
      <c r="X40" t="s">
        <v>14</v>
      </c>
    </row>
    <row r="41" spans="1:24" x14ac:dyDescent="0.25">
      <c r="A41" s="1">
        <v>45614</v>
      </c>
      <c r="B41" t="s">
        <v>23</v>
      </c>
      <c r="C41" t="s">
        <v>24</v>
      </c>
      <c r="D41">
        <v>1</v>
      </c>
      <c r="E41">
        <v>242.75</v>
      </c>
      <c r="J41" t="s">
        <v>34</v>
      </c>
      <c r="K41" t="s">
        <v>31</v>
      </c>
      <c r="L41" t="s">
        <v>35</v>
      </c>
      <c r="M41" t="s">
        <v>36</v>
      </c>
      <c r="N41">
        <v>3</v>
      </c>
      <c r="R41" t="s">
        <v>33</v>
      </c>
      <c r="S41" t="s">
        <v>38</v>
      </c>
      <c r="T41">
        <v>410</v>
      </c>
      <c r="U41" t="str">
        <f>_xlfn.IFNA(_xlfn.IFS(E41&gt;Dash!$D$46, "Big", E41&lt;Dash!$D$49, "Small", E41&gt;Dash!$D$47, "Good"), "Norm")</f>
        <v>Norm</v>
      </c>
      <c r="V41" t="s">
        <v>13</v>
      </c>
      <c r="W41">
        <v>458.75</v>
      </c>
      <c r="X41" t="s">
        <v>14</v>
      </c>
    </row>
    <row r="42" spans="1:24" x14ac:dyDescent="0.25">
      <c r="A42" s="1">
        <v>45618</v>
      </c>
      <c r="B42" t="s">
        <v>26</v>
      </c>
      <c r="C42" t="s">
        <v>20</v>
      </c>
      <c r="D42">
        <v>1</v>
      </c>
      <c r="E42">
        <v>157.75</v>
      </c>
      <c r="J42" t="s">
        <v>34</v>
      </c>
      <c r="K42" t="s">
        <v>39</v>
      </c>
      <c r="L42" t="s">
        <v>32</v>
      </c>
      <c r="M42" t="s">
        <v>36</v>
      </c>
      <c r="N42">
        <v>3</v>
      </c>
      <c r="R42" t="s">
        <v>33</v>
      </c>
      <c r="S42" t="s">
        <v>43</v>
      </c>
      <c r="T42">
        <v>300.75</v>
      </c>
      <c r="U42" t="str">
        <f>_xlfn.IFNA(_xlfn.IFS(E42&gt;Dash!$D$46, "Big", E42&lt;Dash!$D$49, "Small", E42&gt;Dash!$D$47, "Good"), "Norm")</f>
        <v>Norm</v>
      </c>
      <c r="V42" t="s">
        <v>33</v>
      </c>
      <c r="W42">
        <v>391.5</v>
      </c>
      <c r="X42" t="s">
        <v>28</v>
      </c>
    </row>
    <row r="43" spans="1:24" x14ac:dyDescent="0.25">
      <c r="A43" s="1">
        <v>45638</v>
      </c>
      <c r="B43" t="s">
        <v>36</v>
      </c>
      <c r="C43" t="s">
        <v>13</v>
      </c>
      <c r="D43">
        <v>1</v>
      </c>
      <c r="E43">
        <v>120.25</v>
      </c>
      <c r="J43" t="s">
        <v>34</v>
      </c>
      <c r="K43" t="s">
        <v>16</v>
      </c>
      <c r="L43" t="s">
        <v>42</v>
      </c>
      <c r="M43" t="s">
        <v>18</v>
      </c>
      <c r="N43">
        <v>6</v>
      </c>
      <c r="R43" t="s">
        <v>41</v>
      </c>
      <c r="S43" t="s">
        <v>40</v>
      </c>
      <c r="T43">
        <v>241.5</v>
      </c>
      <c r="U43" t="str">
        <f>_xlfn.IFNA(_xlfn.IFS(E43&gt;Dash!$D$46, "Big", E43&lt;Dash!$D$49, "Small", E43&gt;Dash!$D$47, "Good"), "Norm")</f>
        <v>Small</v>
      </c>
      <c r="V43" t="s">
        <v>20</v>
      </c>
      <c r="W43">
        <v>383.75</v>
      </c>
      <c r="X43" t="s">
        <v>28</v>
      </c>
    </row>
    <row r="44" spans="1:24" x14ac:dyDescent="0.25">
      <c r="A44" s="1">
        <v>45643</v>
      </c>
      <c r="B44" t="s">
        <v>19</v>
      </c>
      <c r="C44" t="s">
        <v>24</v>
      </c>
      <c r="D44">
        <v>1</v>
      </c>
      <c r="E44">
        <v>141.75</v>
      </c>
      <c r="J44" t="s">
        <v>34</v>
      </c>
      <c r="K44" t="s">
        <v>16</v>
      </c>
      <c r="L44" t="s">
        <v>25</v>
      </c>
      <c r="M44" t="s">
        <v>23</v>
      </c>
      <c r="N44">
        <v>11</v>
      </c>
      <c r="R44" t="s">
        <v>20</v>
      </c>
      <c r="S44" t="s">
        <v>14</v>
      </c>
      <c r="T44">
        <v>948.75</v>
      </c>
      <c r="U44" t="str">
        <f>_xlfn.IFNA(_xlfn.IFS(E44&gt;Dash!$D$46, "Big", E44&lt;Dash!$D$49, "Small", E44&gt;Dash!$D$47, "Good"), "Norm")</f>
        <v>Small</v>
      </c>
      <c r="V44" t="s">
        <v>13</v>
      </c>
      <c r="W44">
        <v>284</v>
      </c>
      <c r="X44" t="s">
        <v>40</v>
      </c>
    </row>
    <row r="45" spans="1:24" x14ac:dyDescent="0.25">
      <c r="A45" s="1">
        <v>45645</v>
      </c>
      <c r="B45" t="s">
        <v>36</v>
      </c>
      <c r="C45" t="s">
        <v>33</v>
      </c>
      <c r="D45">
        <v>1</v>
      </c>
      <c r="E45">
        <v>334.75</v>
      </c>
      <c r="J45" t="s">
        <v>34</v>
      </c>
      <c r="K45" t="s">
        <v>35</v>
      </c>
      <c r="L45" t="s">
        <v>17</v>
      </c>
      <c r="M45" t="s">
        <v>23</v>
      </c>
      <c r="N45">
        <v>11</v>
      </c>
      <c r="R45" t="s">
        <v>20</v>
      </c>
      <c r="S45" t="s">
        <v>38</v>
      </c>
      <c r="T45">
        <v>741.75</v>
      </c>
      <c r="U45" t="str">
        <f>_xlfn.IFNA(_xlfn.IFS(E45&gt;Dash!$D$46, "Big", E45&lt;Dash!$D$49, "Small", E45&gt;Dash!$D$47, "Good"), "Norm")</f>
        <v>Good</v>
      </c>
      <c r="V45" t="s">
        <v>20</v>
      </c>
      <c r="W45">
        <v>948.75</v>
      </c>
      <c r="X45" t="s">
        <v>14</v>
      </c>
    </row>
    <row r="46" spans="1:24" x14ac:dyDescent="0.25">
      <c r="A46" s="1">
        <v>45649</v>
      </c>
      <c r="B46" t="s">
        <v>23</v>
      </c>
      <c r="C46" t="s">
        <v>33</v>
      </c>
      <c r="D46">
        <v>1</v>
      </c>
      <c r="E46">
        <v>300</v>
      </c>
      <c r="J46" t="s">
        <v>34</v>
      </c>
      <c r="K46" t="s">
        <v>25</v>
      </c>
      <c r="L46" t="s">
        <v>35</v>
      </c>
      <c r="M46" t="s">
        <v>36</v>
      </c>
      <c r="N46">
        <v>1</v>
      </c>
      <c r="R46" t="s">
        <v>13</v>
      </c>
      <c r="S46" t="s">
        <v>28</v>
      </c>
      <c r="T46">
        <v>297</v>
      </c>
      <c r="U46" t="str">
        <f>_xlfn.IFNA(_xlfn.IFS(E46&gt;Dash!$D$46, "Big", E46&lt;Dash!$D$49, "Small", E46&gt;Dash!$D$47, "Good"), "Norm")</f>
        <v>Good</v>
      </c>
      <c r="V46" t="s">
        <v>20</v>
      </c>
      <c r="W46">
        <v>741.75</v>
      </c>
      <c r="X46" t="s">
        <v>38</v>
      </c>
    </row>
  </sheetData>
  <sortState xmlns:xlrd2="http://schemas.microsoft.com/office/spreadsheetml/2017/richdata2" ref="A4:Y46">
    <sortCondition ref="D4:D46"/>
  </sortState>
  <conditionalFormatting sqref="C1:C1048576 R4:R942">
    <cfRule type="containsText" dxfId="174" priority="19" operator="containsText" text="NY Z Day">
      <formula>NOT(ISERROR(SEARCH("NY Z Day",C1)))</formula>
    </cfRule>
    <cfRule type="containsText" dxfId="173" priority="20" operator="containsText" text="Lon Pivot">
      <formula>NOT(ISERROR(SEARCH("Lon Pivot",C1)))</formula>
    </cfRule>
    <cfRule type="containsText" dxfId="172" priority="21" operator="containsText" text="Screamer">
      <formula>NOT(ISERROR(SEARCH("Screamer",C1)))</formula>
    </cfRule>
    <cfRule type="containsText" dxfId="171" priority="22" operator="containsText" text="Lon Wall">
      <formula>NOT(ISERROR(SEARCH("Lon Wall",C1)))</formula>
    </cfRule>
    <cfRule type="containsText" dxfId="170" priority="23" operator="containsText" text="Asia Wall">
      <formula>NOT(ISERROR(SEARCH("Asia Wall",C1)))</formula>
    </cfRule>
  </conditionalFormatting>
  <conditionalFormatting sqref="M1:O1048576 B4:B714">
    <cfRule type="containsText" dxfId="169" priority="14" operator="containsText" text="Friday">
      <formula>NOT(ISERROR(SEARCH("Friday",B1)))</formula>
    </cfRule>
    <cfRule type="containsText" dxfId="168" priority="15" operator="containsText" text="Thursday">
      <formula>NOT(ISERROR(SEARCH("Thursday",B1)))</formula>
    </cfRule>
    <cfRule type="containsText" dxfId="167" priority="16" operator="containsText" text="Wednesday">
      <formula>NOT(ISERROR(SEARCH("Wednesday",B1)))</formula>
    </cfRule>
    <cfRule type="containsText" dxfId="166" priority="17" operator="containsText" text="Tuesday">
      <formula>NOT(ISERROR(SEARCH("Tuesday",B1)))</formula>
    </cfRule>
    <cfRule type="containsText" dxfId="165" priority="18" operator="containsText" text="Monday">
      <formula>NOT(ISERROR(SEARCH("Monday",B1)))</formula>
    </cfRule>
  </conditionalFormatting>
  <conditionalFormatting sqref="P1:Q2 J1:L1048576">
    <cfRule type="containsText" dxfId="164" priority="24" operator="containsText" text="NYAH">
      <formula>NOT(ISERROR(SEARCH("NYAH",J1)))</formula>
    </cfRule>
    <cfRule type="containsText" dxfId="163" priority="25" operator="containsText" text="NYA">
      <formula>NOT(ISERROR(SEARCH("NYA",J1)))</formula>
    </cfRule>
    <cfRule type="containsText" dxfId="162" priority="26" operator="containsText" text="NYO">
      <formula>NOT(ISERROR(SEARCH("NYO",J1)))</formula>
    </cfRule>
    <cfRule type="containsText" dxfId="161" priority="27" operator="containsText" text="Inside">
      <formula>NOT(ISERROR(SEARCH("Inside",J1)))</formula>
    </cfRule>
    <cfRule type="containsText" dxfId="160" priority="28" operator="containsText" text="Asia">
      <formula>NOT(ISERROR(SEARCH("Asia",J1)))</formula>
    </cfRule>
    <cfRule type="containsText" dxfId="159" priority="29" operator="containsText" text="Lon">
      <formula>NOT(ISERROR(SEARCH("Lon",J1)))</formula>
    </cfRule>
  </conditionalFormatting>
  <conditionalFormatting sqref="R1:R2">
    <cfRule type="containsText" dxfId="158" priority="9" operator="containsText" text="Friday">
      <formula>NOT(ISERROR(SEARCH("Friday",R1)))</formula>
    </cfRule>
    <cfRule type="containsText" dxfId="157" priority="10" operator="containsText" text="Thursday">
      <formula>NOT(ISERROR(SEARCH("Thursday",R1)))</formula>
    </cfRule>
    <cfRule type="containsText" dxfId="156" priority="11" operator="containsText" text="Wednesday">
      <formula>NOT(ISERROR(SEARCH("Wednesday",R1)))</formula>
    </cfRule>
    <cfRule type="containsText" dxfId="155" priority="12" operator="containsText" text="Tuesday">
      <formula>NOT(ISERROR(SEARCH("Tuesday",R1)))</formula>
    </cfRule>
    <cfRule type="containsText" dxfId="154" priority="13" operator="containsText" text="Monday">
      <formula>NOT(ISERROR(SEARCH("Monday",R1)))</formula>
    </cfRule>
  </conditionalFormatting>
  <conditionalFormatting sqref="U4:U46">
    <cfRule type="cellIs" dxfId="153" priority="1" operator="equal">
      <formula>"Good"</formula>
    </cfRule>
  </conditionalFormatting>
  <conditionalFormatting sqref="U4:U1048576">
    <cfRule type="cellIs" dxfId="152" priority="2" operator="equal">
      <formula>"Big"</formula>
    </cfRule>
    <cfRule type="cellIs" dxfId="151" priority="3" operator="equal">
      <formula>"Small"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6990-537C-4FAF-8BDC-9D46CD2D2B78}">
  <dimension ref="A1:X248"/>
  <sheetViews>
    <sheetView topLeftCell="A190" workbookViewId="0">
      <selection activeCell="A166" sqref="A166"/>
    </sheetView>
  </sheetViews>
  <sheetFormatPr defaultRowHeight="15" x14ac:dyDescent="0.25"/>
  <cols>
    <col min="1" max="1" width="10.42578125" bestFit="1" customWidth="1"/>
    <col min="2" max="2" width="20.28515625" bestFit="1" customWidth="1"/>
    <col min="3" max="3" width="14.5703125" bestFit="1" customWidth="1"/>
    <col min="4" max="4" width="9.42578125" bestFit="1" customWidth="1"/>
    <col min="5" max="5" width="9.28515625" customWidth="1"/>
    <col min="13" max="13" width="12.57031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77</v>
      </c>
      <c r="O1" t="s">
        <v>78</v>
      </c>
      <c r="P1" t="s">
        <v>59</v>
      </c>
      <c r="Q1" t="s">
        <v>60</v>
      </c>
      <c r="R1" t="s">
        <v>131</v>
      </c>
      <c r="S1" t="s">
        <v>121</v>
      </c>
      <c r="T1" t="s">
        <v>120</v>
      </c>
      <c r="U1" t="s">
        <v>127</v>
      </c>
      <c r="V1" t="s">
        <v>130</v>
      </c>
      <c r="W1" t="s">
        <v>132</v>
      </c>
      <c r="X1" t="s">
        <v>134</v>
      </c>
    </row>
    <row r="2" spans="1:24" x14ac:dyDescent="0.25">
      <c r="S2" t="s">
        <v>125</v>
      </c>
      <c r="T2" t="s">
        <v>126</v>
      </c>
      <c r="V2" t="s">
        <v>133</v>
      </c>
      <c r="W2" t="s">
        <v>133</v>
      </c>
    </row>
    <row r="4" spans="1:24" x14ac:dyDescent="0.25">
      <c r="A4" s="1">
        <v>45175</v>
      </c>
      <c r="B4" t="s">
        <v>18</v>
      </c>
      <c r="C4" t="s">
        <v>13</v>
      </c>
      <c r="D4" t="s">
        <v>14</v>
      </c>
      <c r="E4">
        <v>203.75</v>
      </c>
      <c r="F4">
        <v>1000</v>
      </c>
      <c r="J4" t="s">
        <v>45</v>
      </c>
      <c r="K4" t="s">
        <v>16</v>
      </c>
      <c r="L4" t="s">
        <v>17</v>
      </c>
      <c r="M4" t="s">
        <v>18</v>
      </c>
      <c r="N4">
        <v>2</v>
      </c>
      <c r="P4">
        <v>1300</v>
      </c>
      <c r="Q4">
        <v>1500</v>
      </c>
      <c r="R4" t="s">
        <v>24</v>
      </c>
      <c r="S4" t="s">
        <v>14</v>
      </c>
      <c r="T4">
        <v>154.25</v>
      </c>
      <c r="U4" t="str">
        <f>_xlfn.IFNA(_xlfn.IFS(E4&gt;Dash!$D$46, "Big", E4&lt;Dash!$D$49, "Small", E4&gt;Dash!$D$47, "Good"), "Norm")</f>
        <v>Norm</v>
      </c>
      <c r="V4" t="s">
        <v>20</v>
      </c>
      <c r="W4">
        <v>150</v>
      </c>
      <c r="X4" t="s">
        <v>46</v>
      </c>
    </row>
    <row r="5" spans="1:24" x14ac:dyDescent="0.25">
      <c r="A5" s="1">
        <v>45176</v>
      </c>
      <c r="B5" t="s">
        <v>36</v>
      </c>
      <c r="C5" t="s">
        <v>24</v>
      </c>
      <c r="D5" t="s">
        <v>14</v>
      </c>
      <c r="E5">
        <v>154.25</v>
      </c>
      <c r="F5">
        <v>300</v>
      </c>
      <c r="G5">
        <v>300</v>
      </c>
      <c r="J5" t="s">
        <v>15</v>
      </c>
      <c r="K5" t="s">
        <v>16</v>
      </c>
      <c r="L5" t="s">
        <v>25</v>
      </c>
      <c r="M5" t="s">
        <v>18</v>
      </c>
      <c r="N5">
        <v>2</v>
      </c>
      <c r="P5">
        <v>900</v>
      </c>
      <c r="Q5">
        <v>1500</v>
      </c>
      <c r="R5" t="s">
        <v>41</v>
      </c>
      <c r="S5">
        <v>1</v>
      </c>
      <c r="T5">
        <v>149.75</v>
      </c>
      <c r="U5" t="str">
        <f>_xlfn.IFNA(_xlfn.IFS(E5&gt;Dash!$D$46, "Big", E5&lt;Dash!$D$49, "Small", E5&gt;Dash!$D$47, "Good"), "Norm")</f>
        <v>Small</v>
      </c>
      <c r="V5" t="s">
        <v>13</v>
      </c>
      <c r="W5">
        <v>203.75</v>
      </c>
      <c r="X5" t="s">
        <v>14</v>
      </c>
    </row>
    <row r="6" spans="1:24" x14ac:dyDescent="0.25">
      <c r="A6" s="1">
        <v>45181</v>
      </c>
      <c r="B6" t="s">
        <v>19</v>
      </c>
      <c r="C6" t="s">
        <v>20</v>
      </c>
      <c r="D6" t="s">
        <v>14</v>
      </c>
      <c r="E6">
        <v>172.5</v>
      </c>
      <c r="F6">
        <v>1500</v>
      </c>
      <c r="G6">
        <v>1500</v>
      </c>
      <c r="J6" t="s">
        <v>21</v>
      </c>
      <c r="K6" t="s">
        <v>22</v>
      </c>
      <c r="L6" t="s">
        <v>17</v>
      </c>
      <c r="M6" t="s">
        <v>18</v>
      </c>
      <c r="N6">
        <v>10</v>
      </c>
      <c r="P6">
        <v>1300</v>
      </c>
      <c r="Q6">
        <v>1500</v>
      </c>
      <c r="R6" t="s">
        <v>33</v>
      </c>
      <c r="S6" t="s">
        <v>46</v>
      </c>
      <c r="T6">
        <v>211.5</v>
      </c>
      <c r="U6" t="str">
        <f>_xlfn.IFNA(_xlfn.IFS(E6&gt;Dash!$D$46, "Big", E6&lt;Dash!$D$49, "Small", E6&gt;Dash!$D$47, "Good"), "Norm")</f>
        <v>Norm</v>
      </c>
      <c r="V6" t="s">
        <v>13</v>
      </c>
      <c r="W6">
        <v>158.5</v>
      </c>
      <c r="X6" t="s">
        <v>28</v>
      </c>
    </row>
    <row r="7" spans="1:24" x14ac:dyDescent="0.25">
      <c r="A7" s="1">
        <v>45188</v>
      </c>
      <c r="B7" t="s">
        <v>19</v>
      </c>
      <c r="C7" t="s">
        <v>33</v>
      </c>
      <c r="D7" t="s">
        <v>14</v>
      </c>
      <c r="E7">
        <v>179.5</v>
      </c>
      <c r="F7">
        <v>900</v>
      </c>
      <c r="G7">
        <v>1300</v>
      </c>
      <c r="J7" t="s">
        <v>45</v>
      </c>
      <c r="K7" t="s">
        <v>35</v>
      </c>
      <c r="L7" t="s">
        <v>25</v>
      </c>
      <c r="M7" t="s">
        <v>18</v>
      </c>
      <c r="N7">
        <v>7</v>
      </c>
      <c r="P7">
        <v>1400</v>
      </c>
      <c r="Q7">
        <v>1500</v>
      </c>
      <c r="R7" t="s">
        <v>33</v>
      </c>
      <c r="S7" t="s">
        <v>14</v>
      </c>
      <c r="T7">
        <v>288.75</v>
      </c>
      <c r="U7" t="str">
        <f>_xlfn.IFNA(_xlfn.IFS(E7&gt;Dash!$D$46, "Big", E7&lt;Dash!$D$49, "Small", E7&gt;Dash!$D$47, "Good"), "Norm")</f>
        <v>Norm</v>
      </c>
      <c r="V7" t="s">
        <v>20</v>
      </c>
      <c r="W7">
        <v>124</v>
      </c>
      <c r="X7" t="s">
        <v>46</v>
      </c>
    </row>
    <row r="8" spans="1:24" x14ac:dyDescent="0.25">
      <c r="A8" s="1">
        <v>45189</v>
      </c>
      <c r="B8" t="s">
        <v>18</v>
      </c>
      <c r="C8" t="s">
        <v>33</v>
      </c>
      <c r="D8" t="s">
        <v>14</v>
      </c>
      <c r="E8">
        <v>288.75</v>
      </c>
      <c r="F8">
        <v>1500</v>
      </c>
      <c r="J8" t="s">
        <v>21</v>
      </c>
      <c r="K8" t="s">
        <v>35</v>
      </c>
      <c r="L8" t="s">
        <v>17</v>
      </c>
      <c r="M8" t="s">
        <v>18</v>
      </c>
      <c r="N8">
        <v>7</v>
      </c>
      <c r="P8">
        <v>1400</v>
      </c>
      <c r="Q8">
        <v>1600</v>
      </c>
      <c r="R8" t="s">
        <v>13</v>
      </c>
      <c r="S8" t="s">
        <v>14</v>
      </c>
      <c r="T8">
        <v>161</v>
      </c>
      <c r="U8" t="str">
        <f>_xlfn.IFNA(_xlfn.IFS(E8&gt;Dash!$D$46, "Big", E8&lt;Dash!$D$49, "Small", E8&gt;Dash!$D$47, "Good"), "Norm")</f>
        <v>Good</v>
      </c>
      <c r="V8" t="s">
        <v>33</v>
      </c>
      <c r="W8">
        <v>179.5</v>
      </c>
      <c r="X8" t="s">
        <v>14</v>
      </c>
    </row>
    <row r="9" spans="1:24" x14ac:dyDescent="0.25">
      <c r="A9" s="1">
        <v>45190</v>
      </c>
      <c r="B9" t="s">
        <v>36</v>
      </c>
      <c r="C9" t="s">
        <v>13</v>
      </c>
      <c r="D9" t="s">
        <v>14</v>
      </c>
      <c r="E9">
        <v>161</v>
      </c>
      <c r="F9">
        <v>1800</v>
      </c>
      <c r="J9" t="s">
        <v>37</v>
      </c>
      <c r="K9" t="s">
        <v>16</v>
      </c>
      <c r="L9" t="s">
        <v>42</v>
      </c>
      <c r="M9" t="s">
        <v>18</v>
      </c>
      <c r="N9">
        <v>7</v>
      </c>
      <c r="P9">
        <v>1300</v>
      </c>
      <c r="Q9">
        <v>1600</v>
      </c>
      <c r="R9" t="s">
        <v>24</v>
      </c>
      <c r="S9" t="s">
        <v>46</v>
      </c>
      <c r="T9">
        <v>175</v>
      </c>
      <c r="U9" t="str">
        <f>_xlfn.IFNA(_xlfn.IFS(E9&gt;Dash!$D$46, "Big", E9&lt;Dash!$D$49, "Small", E9&gt;Dash!$D$47, "Good"), "Norm")</f>
        <v>Norm</v>
      </c>
      <c r="V9" t="s">
        <v>33</v>
      </c>
      <c r="W9">
        <v>288.75</v>
      </c>
      <c r="X9" t="s">
        <v>14</v>
      </c>
    </row>
    <row r="10" spans="1:24" x14ac:dyDescent="0.25">
      <c r="A10" s="1">
        <v>45195</v>
      </c>
      <c r="B10" t="s">
        <v>19</v>
      </c>
      <c r="C10" t="s">
        <v>13</v>
      </c>
      <c r="D10" t="s">
        <v>14</v>
      </c>
      <c r="E10">
        <v>226.75</v>
      </c>
      <c r="F10">
        <v>900</v>
      </c>
      <c r="J10" t="s">
        <v>45</v>
      </c>
      <c r="K10" t="s">
        <v>16</v>
      </c>
      <c r="L10" t="s">
        <v>17</v>
      </c>
      <c r="M10" t="s">
        <v>19</v>
      </c>
      <c r="N10">
        <v>6</v>
      </c>
      <c r="P10">
        <v>1300</v>
      </c>
      <c r="Q10">
        <v>1500</v>
      </c>
      <c r="R10" t="s">
        <v>33</v>
      </c>
      <c r="S10" t="s">
        <v>46</v>
      </c>
      <c r="T10">
        <v>235.5</v>
      </c>
      <c r="U10" t="str">
        <f>_xlfn.IFNA(_xlfn.IFS(E10&gt;Dash!$D$46, "Big", E10&lt;Dash!$D$49, "Small", E10&gt;Dash!$D$47, "Good"), "Norm")</f>
        <v>Norm</v>
      </c>
      <c r="V10" t="s">
        <v>33</v>
      </c>
      <c r="W10">
        <v>157</v>
      </c>
      <c r="X10" t="s">
        <v>46</v>
      </c>
    </row>
    <row r="11" spans="1:24" x14ac:dyDescent="0.25">
      <c r="A11" s="1">
        <v>45202</v>
      </c>
      <c r="B11" t="s">
        <v>19</v>
      </c>
      <c r="C11" t="s">
        <v>20</v>
      </c>
      <c r="D11" t="s">
        <v>14</v>
      </c>
      <c r="E11">
        <v>323.25</v>
      </c>
      <c r="F11">
        <v>1000</v>
      </c>
      <c r="J11" t="s">
        <v>45</v>
      </c>
      <c r="K11" t="s">
        <v>22</v>
      </c>
      <c r="L11" t="s">
        <v>17</v>
      </c>
      <c r="M11" t="s">
        <v>23</v>
      </c>
      <c r="N11">
        <v>9</v>
      </c>
      <c r="P11">
        <v>1300</v>
      </c>
      <c r="Q11">
        <v>1500</v>
      </c>
      <c r="R11" t="s">
        <v>20</v>
      </c>
      <c r="S11" t="s">
        <v>46</v>
      </c>
      <c r="T11">
        <v>221.5</v>
      </c>
      <c r="U11" t="str">
        <f>_xlfn.IFNA(_xlfn.IFS(E11&gt;Dash!$D$46, "Big", E11&lt;Dash!$D$49, "Small", E11&gt;Dash!$D$47, "Good"), "Norm")</f>
        <v>Good</v>
      </c>
      <c r="V11" t="s">
        <v>33</v>
      </c>
      <c r="W11">
        <v>220</v>
      </c>
      <c r="X11">
        <v>1</v>
      </c>
    </row>
    <row r="12" spans="1:24" x14ac:dyDescent="0.25">
      <c r="A12" s="1">
        <v>45212</v>
      </c>
      <c r="B12" t="s">
        <v>26</v>
      </c>
      <c r="C12" t="s">
        <v>33</v>
      </c>
      <c r="D12" t="s">
        <v>14</v>
      </c>
      <c r="E12">
        <v>304.5</v>
      </c>
      <c r="F12">
        <v>1000</v>
      </c>
      <c r="J12" t="s">
        <v>45</v>
      </c>
      <c r="K12" t="s">
        <v>35</v>
      </c>
      <c r="L12" t="s">
        <v>17</v>
      </c>
      <c r="M12" t="s">
        <v>18</v>
      </c>
      <c r="N12">
        <v>8</v>
      </c>
      <c r="P12">
        <v>1300</v>
      </c>
      <c r="Q12">
        <v>1500</v>
      </c>
      <c r="R12" t="s">
        <v>20</v>
      </c>
      <c r="S12">
        <v>1</v>
      </c>
      <c r="T12">
        <v>211.75</v>
      </c>
      <c r="U12" t="str">
        <f>_xlfn.IFNA(_xlfn.IFS(E12&gt;Dash!$D$46, "Big", E12&lt;Dash!$D$49, "Small", E12&gt;Dash!$D$47, "Good"), "Norm")</f>
        <v>Good</v>
      </c>
      <c r="V12" t="s">
        <v>33</v>
      </c>
      <c r="W12">
        <v>252.5</v>
      </c>
      <c r="X12" t="s">
        <v>43</v>
      </c>
    </row>
    <row r="13" spans="1:24" x14ac:dyDescent="0.25">
      <c r="A13" s="1">
        <v>45216</v>
      </c>
      <c r="B13" t="s">
        <v>19</v>
      </c>
      <c r="C13" t="s">
        <v>33</v>
      </c>
      <c r="D13" t="s">
        <v>14</v>
      </c>
      <c r="E13">
        <v>259</v>
      </c>
      <c r="F13">
        <v>900</v>
      </c>
      <c r="G13">
        <v>1000</v>
      </c>
      <c r="J13" t="s">
        <v>45</v>
      </c>
      <c r="K13" t="s">
        <v>25</v>
      </c>
      <c r="L13" t="s">
        <v>32</v>
      </c>
      <c r="M13" t="s">
        <v>23</v>
      </c>
      <c r="N13">
        <v>5</v>
      </c>
      <c r="P13">
        <v>1200</v>
      </c>
      <c r="Q13">
        <v>1500</v>
      </c>
      <c r="R13" t="s">
        <v>13</v>
      </c>
      <c r="S13" t="s">
        <v>14</v>
      </c>
      <c r="T13">
        <v>244.5</v>
      </c>
      <c r="U13" t="str">
        <f>_xlfn.IFNA(_xlfn.IFS(E13&gt;Dash!$D$46, "Big", E13&lt;Dash!$D$49, "Small", E13&gt;Dash!$D$47, "Good"), "Norm")</f>
        <v>Good</v>
      </c>
      <c r="V13" t="s">
        <v>20</v>
      </c>
      <c r="W13">
        <v>211.75</v>
      </c>
      <c r="X13">
        <v>1</v>
      </c>
    </row>
    <row r="14" spans="1:24" x14ac:dyDescent="0.25">
      <c r="A14" s="1">
        <v>45217</v>
      </c>
      <c r="B14" t="s">
        <v>18</v>
      </c>
      <c r="C14" t="s">
        <v>13</v>
      </c>
      <c r="D14" t="s">
        <v>14</v>
      </c>
      <c r="E14">
        <v>244.5</v>
      </c>
      <c r="F14">
        <v>1400</v>
      </c>
      <c r="G14">
        <v>1400</v>
      </c>
      <c r="J14" t="s">
        <v>21</v>
      </c>
      <c r="K14" t="s">
        <v>16</v>
      </c>
      <c r="L14" t="s">
        <v>17</v>
      </c>
      <c r="M14" t="s">
        <v>23</v>
      </c>
      <c r="N14">
        <v>5</v>
      </c>
      <c r="O14" t="s">
        <v>104</v>
      </c>
      <c r="P14">
        <v>1200</v>
      </c>
      <c r="Q14">
        <v>1500</v>
      </c>
      <c r="R14" t="s">
        <v>33</v>
      </c>
      <c r="S14" t="s">
        <v>43</v>
      </c>
      <c r="T14">
        <v>286</v>
      </c>
      <c r="U14" t="str">
        <f>_xlfn.IFNA(_xlfn.IFS(E14&gt;Dash!$D$46, "Big", E14&lt;Dash!$D$49, "Small", E14&gt;Dash!$D$47, "Good"), "Norm")</f>
        <v>Norm</v>
      </c>
      <c r="V14" t="s">
        <v>33</v>
      </c>
      <c r="W14">
        <v>259</v>
      </c>
      <c r="X14" t="s">
        <v>14</v>
      </c>
    </row>
    <row r="15" spans="1:24" x14ac:dyDescent="0.25">
      <c r="A15" s="1">
        <v>45219</v>
      </c>
      <c r="B15" t="s">
        <v>26</v>
      </c>
      <c r="C15" t="s">
        <v>33</v>
      </c>
      <c r="D15" t="s">
        <v>14</v>
      </c>
      <c r="E15">
        <v>234.25</v>
      </c>
      <c r="F15">
        <v>1800</v>
      </c>
      <c r="G15">
        <v>1900</v>
      </c>
      <c r="J15" t="s">
        <v>37</v>
      </c>
      <c r="K15" t="s">
        <v>35</v>
      </c>
      <c r="L15" t="s">
        <v>42</v>
      </c>
      <c r="M15" t="s">
        <v>23</v>
      </c>
      <c r="N15">
        <v>5</v>
      </c>
      <c r="O15" t="s">
        <v>61</v>
      </c>
      <c r="P15">
        <v>1300</v>
      </c>
      <c r="Q15">
        <v>1600</v>
      </c>
      <c r="R15" t="s">
        <v>33</v>
      </c>
      <c r="S15" t="s">
        <v>46</v>
      </c>
      <c r="T15">
        <v>339.5</v>
      </c>
      <c r="U15" t="str">
        <f>_xlfn.IFNA(_xlfn.IFS(E15&gt;Dash!$D$46, "Big", E15&lt;Dash!$D$49, "Small", E15&gt;Dash!$D$47, "Good"), "Norm")</f>
        <v>Norm</v>
      </c>
      <c r="V15" t="s">
        <v>33</v>
      </c>
      <c r="W15">
        <v>286</v>
      </c>
      <c r="X15" t="s">
        <v>43</v>
      </c>
    </row>
    <row r="16" spans="1:24" x14ac:dyDescent="0.25">
      <c r="A16" s="1">
        <v>45224</v>
      </c>
      <c r="B16" t="s">
        <v>18</v>
      </c>
      <c r="C16" t="s">
        <v>13</v>
      </c>
      <c r="D16" t="s">
        <v>14</v>
      </c>
      <c r="E16">
        <v>339</v>
      </c>
      <c r="F16">
        <v>900</v>
      </c>
      <c r="J16" t="s">
        <v>45</v>
      </c>
      <c r="K16" t="s">
        <v>16</v>
      </c>
      <c r="L16" t="s">
        <v>17</v>
      </c>
      <c r="M16" t="s">
        <v>19</v>
      </c>
      <c r="N16">
        <v>7</v>
      </c>
      <c r="O16" t="s">
        <v>68</v>
      </c>
      <c r="P16">
        <v>1100</v>
      </c>
      <c r="Q16">
        <v>1600</v>
      </c>
      <c r="R16" t="s">
        <v>33</v>
      </c>
      <c r="S16" t="s">
        <v>47</v>
      </c>
      <c r="T16">
        <v>318.75</v>
      </c>
      <c r="U16" t="str">
        <f>_xlfn.IFNA(_xlfn.IFS(E16&gt;Dash!$D$46, "Big", E16&lt;Dash!$D$49, "Small", E16&gt;Dash!$D$47, "Good"), "Norm")</f>
        <v>Good</v>
      </c>
      <c r="V16" t="s">
        <v>33</v>
      </c>
      <c r="W16">
        <v>172</v>
      </c>
      <c r="X16" t="s">
        <v>28</v>
      </c>
    </row>
    <row r="17" spans="1:24" x14ac:dyDescent="0.25">
      <c r="A17" s="1">
        <v>45251</v>
      </c>
      <c r="B17" t="s">
        <v>19</v>
      </c>
      <c r="D17" t="s">
        <v>14</v>
      </c>
      <c r="E17">
        <v>126.5</v>
      </c>
      <c r="F17">
        <v>2200</v>
      </c>
      <c r="J17" t="s">
        <v>29</v>
      </c>
      <c r="K17" t="s">
        <v>16</v>
      </c>
      <c r="L17" t="s">
        <v>42</v>
      </c>
      <c r="M17" t="s">
        <v>19</v>
      </c>
      <c r="N17">
        <v>5</v>
      </c>
      <c r="O17" t="s">
        <v>66</v>
      </c>
      <c r="P17">
        <v>1300</v>
      </c>
      <c r="Q17">
        <v>1600</v>
      </c>
      <c r="R17" t="s">
        <v>41</v>
      </c>
      <c r="S17" t="s">
        <v>28</v>
      </c>
      <c r="T17">
        <v>168</v>
      </c>
      <c r="U17" t="str">
        <f>_xlfn.IFNA(_xlfn.IFS(E17&gt;Dash!$D$46, "Big", E17&lt;Dash!$D$49, "Small", E17&gt;Dash!$D$47, "Good"), "Norm")</f>
        <v>Small</v>
      </c>
      <c r="V17" t="s">
        <v>13</v>
      </c>
      <c r="W17">
        <v>229.5</v>
      </c>
      <c r="X17" t="s">
        <v>28</v>
      </c>
    </row>
    <row r="18" spans="1:24" x14ac:dyDescent="0.25">
      <c r="A18" s="1">
        <v>45260</v>
      </c>
      <c r="B18" t="s">
        <v>36</v>
      </c>
      <c r="C18" t="s">
        <v>33</v>
      </c>
      <c r="D18" t="s">
        <v>14</v>
      </c>
      <c r="E18">
        <v>242.5</v>
      </c>
      <c r="F18">
        <v>900</v>
      </c>
      <c r="J18" t="s">
        <v>45</v>
      </c>
      <c r="K18" t="s">
        <v>35</v>
      </c>
      <c r="L18" t="s">
        <v>17</v>
      </c>
      <c r="M18" t="s">
        <v>19</v>
      </c>
      <c r="N18">
        <v>8</v>
      </c>
      <c r="P18">
        <v>1500</v>
      </c>
      <c r="Q18">
        <v>1500</v>
      </c>
      <c r="R18" t="s">
        <v>33</v>
      </c>
      <c r="S18">
        <v>1</v>
      </c>
      <c r="T18">
        <v>186</v>
      </c>
      <c r="U18" t="str">
        <f>_xlfn.IFNA(_xlfn.IFS(E18&gt;Dash!$D$46, "Big", E18&lt;Dash!$D$49, "Small", E18&gt;Dash!$D$47, "Good"), "Norm")</f>
        <v>Norm</v>
      </c>
      <c r="V18" t="s">
        <v>33</v>
      </c>
      <c r="W18">
        <v>195</v>
      </c>
      <c r="X18" t="s">
        <v>43</v>
      </c>
    </row>
    <row r="19" spans="1:24" x14ac:dyDescent="0.25">
      <c r="A19" s="1">
        <v>45264</v>
      </c>
      <c r="B19" t="s">
        <v>23</v>
      </c>
      <c r="C19" t="s">
        <v>33</v>
      </c>
      <c r="D19" t="s">
        <v>14</v>
      </c>
      <c r="E19">
        <v>246.75</v>
      </c>
      <c r="F19">
        <v>900</v>
      </c>
      <c r="G19">
        <v>1500</v>
      </c>
      <c r="J19" t="s">
        <v>45</v>
      </c>
      <c r="K19" t="s">
        <v>32</v>
      </c>
      <c r="L19" t="s">
        <v>25</v>
      </c>
      <c r="M19" t="s">
        <v>19</v>
      </c>
      <c r="N19">
        <v>8</v>
      </c>
      <c r="P19">
        <v>1400</v>
      </c>
      <c r="Q19">
        <v>1500</v>
      </c>
      <c r="R19" t="s">
        <v>41</v>
      </c>
      <c r="S19">
        <v>1</v>
      </c>
      <c r="T19">
        <v>192</v>
      </c>
      <c r="U19" t="str">
        <f>_xlfn.IFNA(_xlfn.IFS(E19&gt;Dash!$D$46, "Big", E19&lt;Dash!$D$49, "Small", E19&gt;Dash!$D$47, "Good"), "Norm")</f>
        <v>Norm</v>
      </c>
      <c r="V19" t="s">
        <v>33</v>
      </c>
      <c r="W19">
        <v>186</v>
      </c>
      <c r="X19">
        <v>1</v>
      </c>
    </row>
    <row r="20" spans="1:24" x14ac:dyDescent="0.25">
      <c r="A20" s="1">
        <v>45293</v>
      </c>
      <c r="B20" t="s">
        <v>107</v>
      </c>
      <c r="C20" t="s">
        <v>13</v>
      </c>
      <c r="D20" t="s">
        <v>14</v>
      </c>
      <c r="E20">
        <v>255.25</v>
      </c>
      <c r="F20">
        <v>600</v>
      </c>
      <c r="J20" t="s">
        <v>15</v>
      </c>
      <c r="K20" t="s">
        <v>16</v>
      </c>
      <c r="L20" t="s">
        <v>17</v>
      </c>
      <c r="M20" t="s">
        <v>18</v>
      </c>
      <c r="N20">
        <v>8</v>
      </c>
      <c r="R20" t="s">
        <v>13</v>
      </c>
      <c r="S20" t="s">
        <v>14</v>
      </c>
      <c r="T20">
        <v>131.5</v>
      </c>
      <c r="U20" t="str">
        <f>_xlfn.IFNA(_xlfn.IFS(E20&gt;Dash!$D$46, "Big", E20&lt;Dash!$D$49, "Small", E20&gt;Dash!$D$47, "Good"), "Norm")</f>
        <v>Good</v>
      </c>
      <c r="V20" t="s">
        <v>41</v>
      </c>
      <c r="W20">
        <v>169.25</v>
      </c>
      <c r="X20" t="s">
        <v>43</v>
      </c>
    </row>
    <row r="21" spans="1:24" x14ac:dyDescent="0.25">
      <c r="A21" s="1">
        <v>45294</v>
      </c>
      <c r="B21" t="s">
        <v>18</v>
      </c>
      <c r="C21" t="s">
        <v>13</v>
      </c>
      <c r="D21" t="s">
        <v>14</v>
      </c>
      <c r="E21">
        <v>131.5</v>
      </c>
      <c r="F21">
        <v>700</v>
      </c>
      <c r="J21" t="s">
        <v>30</v>
      </c>
      <c r="K21" t="s">
        <v>16</v>
      </c>
      <c r="L21" t="s">
        <v>17</v>
      </c>
      <c r="M21" t="s">
        <v>18</v>
      </c>
      <c r="N21">
        <v>8</v>
      </c>
      <c r="R21" t="s">
        <v>20</v>
      </c>
      <c r="S21" t="s">
        <v>14</v>
      </c>
      <c r="T21">
        <v>147.75</v>
      </c>
      <c r="U21" t="str">
        <f>_xlfn.IFNA(_xlfn.IFS(E21&gt;Dash!$D$46, "Big", E21&lt;Dash!$D$49, "Small", E21&gt;Dash!$D$47, "Good"), "Norm")</f>
        <v>Small</v>
      </c>
      <c r="V21" t="s">
        <v>13</v>
      </c>
      <c r="W21">
        <v>255.25</v>
      </c>
      <c r="X21" t="s">
        <v>14</v>
      </c>
    </row>
    <row r="22" spans="1:24" x14ac:dyDescent="0.25">
      <c r="A22" s="1">
        <v>45295</v>
      </c>
      <c r="B22" t="s">
        <v>36</v>
      </c>
      <c r="C22" t="s">
        <v>20</v>
      </c>
      <c r="D22" t="s">
        <v>14</v>
      </c>
      <c r="E22">
        <v>147.75</v>
      </c>
      <c r="F22">
        <v>700</v>
      </c>
      <c r="J22" t="s">
        <v>15</v>
      </c>
      <c r="K22" t="s">
        <v>22</v>
      </c>
      <c r="L22" t="s">
        <v>17</v>
      </c>
      <c r="M22" t="s">
        <v>18</v>
      </c>
      <c r="N22">
        <v>8</v>
      </c>
      <c r="R22" t="s">
        <v>33</v>
      </c>
      <c r="S22" t="s">
        <v>46</v>
      </c>
      <c r="T22">
        <v>243</v>
      </c>
      <c r="U22" t="str">
        <f>_xlfn.IFNA(_xlfn.IFS(E22&gt;Dash!$D$46, "Big", E22&lt;Dash!$D$49, "Small", E22&gt;Dash!$D$47, "Good"), "Norm")</f>
        <v>Small</v>
      </c>
      <c r="V22" t="s">
        <v>13</v>
      </c>
      <c r="W22">
        <v>131.5</v>
      </c>
      <c r="X22" t="s">
        <v>14</v>
      </c>
    </row>
    <row r="23" spans="1:24" x14ac:dyDescent="0.25">
      <c r="A23" s="1">
        <v>45317</v>
      </c>
      <c r="B23" t="s">
        <v>26</v>
      </c>
      <c r="C23" t="s">
        <v>20</v>
      </c>
      <c r="D23" t="s">
        <v>14</v>
      </c>
      <c r="E23">
        <v>128.5</v>
      </c>
      <c r="F23">
        <v>1800</v>
      </c>
      <c r="G23">
        <v>600</v>
      </c>
      <c r="J23" t="s">
        <v>37</v>
      </c>
      <c r="K23" t="s">
        <v>39</v>
      </c>
      <c r="L23" t="s">
        <v>32</v>
      </c>
      <c r="M23" t="s">
        <v>18</v>
      </c>
      <c r="N23">
        <v>5</v>
      </c>
      <c r="R23" t="s">
        <v>13</v>
      </c>
      <c r="S23" t="s">
        <v>38</v>
      </c>
      <c r="T23">
        <v>196.5</v>
      </c>
      <c r="U23" t="str">
        <f>_xlfn.IFNA(_xlfn.IFS(E23&gt;Dash!$D$46, "Big", E23&lt;Dash!$D$49, "Small", E23&gt;Dash!$D$47, "Good"), "Norm")</f>
        <v>Small</v>
      </c>
      <c r="V23" t="s">
        <v>33</v>
      </c>
      <c r="W23">
        <v>210</v>
      </c>
      <c r="X23" t="s">
        <v>46</v>
      </c>
    </row>
    <row r="24" spans="1:24" x14ac:dyDescent="0.25">
      <c r="A24" s="1">
        <v>45335</v>
      </c>
      <c r="B24" t="s">
        <v>19</v>
      </c>
      <c r="C24" t="s">
        <v>20</v>
      </c>
      <c r="D24" t="s">
        <v>14</v>
      </c>
      <c r="E24">
        <v>328</v>
      </c>
      <c r="F24">
        <v>300</v>
      </c>
      <c r="J24" t="s">
        <v>15</v>
      </c>
      <c r="K24" t="s">
        <v>22</v>
      </c>
      <c r="L24" t="s">
        <v>17</v>
      </c>
      <c r="M24" t="s">
        <v>19</v>
      </c>
      <c r="N24">
        <v>10</v>
      </c>
      <c r="R24" t="s">
        <v>13</v>
      </c>
      <c r="S24">
        <v>1</v>
      </c>
      <c r="T24">
        <v>196.75</v>
      </c>
      <c r="U24" t="str">
        <f>_xlfn.IFNA(_xlfn.IFS(E24&gt;Dash!$D$46, "Big", E24&lt;Dash!$D$49, "Small", E24&gt;Dash!$D$47, "Good"), "Norm")</f>
        <v>Good</v>
      </c>
      <c r="V24" t="s">
        <v>33</v>
      </c>
      <c r="W24">
        <v>185.25</v>
      </c>
      <c r="X24" t="s">
        <v>43</v>
      </c>
    </row>
    <row r="25" spans="1:24" x14ac:dyDescent="0.25">
      <c r="A25" s="1">
        <v>45342</v>
      </c>
      <c r="B25" t="s">
        <v>107</v>
      </c>
      <c r="C25" t="s">
        <v>13</v>
      </c>
      <c r="D25" t="s">
        <v>14</v>
      </c>
      <c r="E25">
        <v>271.5</v>
      </c>
      <c r="F25">
        <v>2000</v>
      </c>
      <c r="G25">
        <v>200</v>
      </c>
      <c r="J25" t="s">
        <v>37</v>
      </c>
      <c r="K25" t="s">
        <v>16</v>
      </c>
      <c r="L25" t="s">
        <v>17</v>
      </c>
      <c r="M25" t="s">
        <v>18</v>
      </c>
      <c r="N25">
        <v>4</v>
      </c>
      <c r="R25" t="s">
        <v>33</v>
      </c>
      <c r="S25" t="s">
        <v>46</v>
      </c>
      <c r="T25">
        <v>169.75</v>
      </c>
      <c r="U25" t="str">
        <f>_xlfn.IFNA(_xlfn.IFS(E25&gt;Dash!$D$46, "Big", E25&lt;Dash!$D$49, "Small", E25&gt;Dash!$D$47, "Good"), "Norm")</f>
        <v>Good</v>
      </c>
      <c r="V25" t="s">
        <v>41</v>
      </c>
      <c r="W25">
        <v>292.75</v>
      </c>
      <c r="X25" t="s">
        <v>48</v>
      </c>
    </row>
    <row r="26" spans="1:24" x14ac:dyDescent="0.25">
      <c r="A26" s="1">
        <v>45348</v>
      </c>
      <c r="B26" t="s">
        <v>23</v>
      </c>
      <c r="C26" t="s">
        <v>24</v>
      </c>
      <c r="D26" t="s">
        <v>14</v>
      </c>
      <c r="E26">
        <v>93.5</v>
      </c>
      <c r="F26">
        <v>1800</v>
      </c>
      <c r="G26">
        <v>1800</v>
      </c>
      <c r="J26" t="s">
        <v>37</v>
      </c>
      <c r="K26" t="s">
        <v>31</v>
      </c>
      <c r="L26" t="s">
        <v>35</v>
      </c>
      <c r="M26" t="s">
        <v>18</v>
      </c>
      <c r="N26">
        <v>7</v>
      </c>
      <c r="R26" t="s">
        <v>20</v>
      </c>
      <c r="S26" t="s">
        <v>46</v>
      </c>
      <c r="T26">
        <v>125</v>
      </c>
      <c r="U26" t="str">
        <f>_xlfn.IFNA(_xlfn.IFS(E26&gt;Dash!$D$46, "Big", E26&lt;Dash!$D$49, "Small", E26&gt;Dash!$D$47, "Good"), "Norm")</f>
        <v>Small</v>
      </c>
      <c r="V26" t="s">
        <v>33</v>
      </c>
      <c r="W26">
        <v>198.75</v>
      </c>
      <c r="X26" t="s">
        <v>43</v>
      </c>
    </row>
    <row r="27" spans="1:24" x14ac:dyDescent="0.25">
      <c r="A27" s="1">
        <v>45350</v>
      </c>
      <c r="B27" t="s">
        <v>18</v>
      </c>
      <c r="C27" t="s">
        <v>13</v>
      </c>
      <c r="D27" t="s">
        <v>14</v>
      </c>
      <c r="E27">
        <v>99</v>
      </c>
      <c r="F27">
        <v>400</v>
      </c>
      <c r="G27">
        <v>500</v>
      </c>
      <c r="J27" t="s">
        <v>15</v>
      </c>
      <c r="K27" t="s">
        <v>16</v>
      </c>
      <c r="L27" t="s">
        <v>42</v>
      </c>
      <c r="M27" t="s">
        <v>19</v>
      </c>
      <c r="N27">
        <v>7</v>
      </c>
      <c r="R27" t="s">
        <v>20</v>
      </c>
      <c r="S27" t="s">
        <v>38</v>
      </c>
      <c r="T27">
        <v>250</v>
      </c>
      <c r="U27" t="str">
        <f>_xlfn.IFNA(_xlfn.IFS(E27&gt;Dash!$D$46, "Big", E27&lt;Dash!$D$49, "Small", E27&gt;Dash!$D$47, "Good"), "Norm")</f>
        <v>Small</v>
      </c>
      <c r="V27" t="s">
        <v>20</v>
      </c>
      <c r="W27">
        <v>125</v>
      </c>
      <c r="X27" t="s">
        <v>46</v>
      </c>
    </row>
    <row r="28" spans="1:24" x14ac:dyDescent="0.25">
      <c r="A28" s="1">
        <v>45356</v>
      </c>
      <c r="B28" t="s">
        <v>19</v>
      </c>
      <c r="C28" t="s">
        <v>13</v>
      </c>
      <c r="D28" t="s">
        <v>14</v>
      </c>
      <c r="E28">
        <v>343.25</v>
      </c>
      <c r="F28">
        <v>1800</v>
      </c>
      <c r="J28" t="s">
        <v>37</v>
      </c>
      <c r="K28" t="s">
        <v>16</v>
      </c>
      <c r="L28" t="s">
        <v>17</v>
      </c>
      <c r="M28" t="s">
        <v>19</v>
      </c>
      <c r="N28">
        <v>9</v>
      </c>
      <c r="R28" t="s">
        <v>13</v>
      </c>
      <c r="S28">
        <v>1</v>
      </c>
      <c r="T28">
        <v>210.75</v>
      </c>
      <c r="U28" t="str">
        <f>_xlfn.IFNA(_xlfn.IFS(E28&gt;Dash!$D$46, "Big", E28&lt;Dash!$D$49, "Small", E28&gt;Dash!$D$47, "Good"), "Norm")</f>
        <v>Good</v>
      </c>
      <c r="V28" t="s">
        <v>20</v>
      </c>
      <c r="W28">
        <v>98.75</v>
      </c>
      <c r="X28" t="s">
        <v>43</v>
      </c>
    </row>
    <row r="29" spans="1:24" x14ac:dyDescent="0.25">
      <c r="A29" s="1">
        <v>45365</v>
      </c>
      <c r="B29" t="s">
        <v>36</v>
      </c>
      <c r="C29" t="s">
        <v>20</v>
      </c>
      <c r="D29" t="s">
        <v>14</v>
      </c>
      <c r="E29">
        <v>252.75</v>
      </c>
      <c r="F29">
        <v>900</v>
      </c>
      <c r="G29">
        <v>1000</v>
      </c>
      <c r="J29" t="s">
        <v>45</v>
      </c>
      <c r="K29" t="s">
        <v>22</v>
      </c>
      <c r="L29" t="s">
        <v>17</v>
      </c>
      <c r="M29" t="s">
        <v>19</v>
      </c>
      <c r="N29">
        <v>12</v>
      </c>
      <c r="R29" t="s">
        <v>20</v>
      </c>
      <c r="S29" t="s">
        <v>14</v>
      </c>
      <c r="T29">
        <v>277.25</v>
      </c>
      <c r="U29" t="str">
        <f>_xlfn.IFNA(_xlfn.IFS(E29&gt;Dash!$D$46, "Big", E29&lt;Dash!$D$49, "Small", E29&gt;Dash!$D$47, "Good"), "Norm")</f>
        <v>Good</v>
      </c>
      <c r="V29" t="s">
        <v>41</v>
      </c>
      <c r="W29">
        <v>185.5</v>
      </c>
      <c r="X29" t="s">
        <v>43</v>
      </c>
    </row>
    <row r="30" spans="1:24" x14ac:dyDescent="0.25">
      <c r="A30" s="1">
        <v>45366</v>
      </c>
      <c r="B30" t="s">
        <v>26</v>
      </c>
      <c r="C30" t="s">
        <v>20</v>
      </c>
      <c r="D30" t="s">
        <v>14</v>
      </c>
      <c r="E30">
        <v>277.25</v>
      </c>
      <c r="F30">
        <v>900</v>
      </c>
      <c r="J30" t="s">
        <v>45</v>
      </c>
      <c r="K30" t="s">
        <v>22</v>
      </c>
      <c r="L30" t="s">
        <v>17</v>
      </c>
      <c r="M30" t="s">
        <v>19</v>
      </c>
      <c r="N30">
        <v>12</v>
      </c>
      <c r="O30" t="s">
        <v>67</v>
      </c>
      <c r="R30" t="s">
        <v>24</v>
      </c>
      <c r="S30" t="s">
        <v>43</v>
      </c>
      <c r="T30">
        <v>162</v>
      </c>
      <c r="U30" t="str">
        <f>_xlfn.IFNA(_xlfn.IFS(E30&gt;Dash!$D$46, "Big", E30&lt;Dash!$D$49, "Small", E30&gt;Dash!$D$47, "Good"), "Norm")</f>
        <v>Good</v>
      </c>
      <c r="V30" t="s">
        <v>20</v>
      </c>
      <c r="W30">
        <v>252.75</v>
      </c>
      <c r="X30" t="s">
        <v>14</v>
      </c>
    </row>
    <row r="31" spans="1:24" x14ac:dyDescent="0.25">
      <c r="A31" s="1">
        <v>45371</v>
      </c>
      <c r="B31" t="s">
        <v>18</v>
      </c>
      <c r="C31" t="s">
        <v>13</v>
      </c>
      <c r="D31" t="s">
        <v>14</v>
      </c>
      <c r="E31">
        <v>253</v>
      </c>
      <c r="F31">
        <v>600</v>
      </c>
      <c r="G31">
        <v>900</v>
      </c>
      <c r="J31" t="s">
        <v>30</v>
      </c>
      <c r="K31" t="s">
        <v>31</v>
      </c>
      <c r="L31" t="s">
        <v>44</v>
      </c>
      <c r="M31" t="s">
        <v>18</v>
      </c>
      <c r="N31">
        <v>8</v>
      </c>
      <c r="R31" t="s">
        <v>24</v>
      </c>
      <c r="S31" t="s">
        <v>28</v>
      </c>
      <c r="T31">
        <v>156.5</v>
      </c>
      <c r="U31" t="str">
        <f>_xlfn.IFNA(_xlfn.IFS(E31&gt;Dash!$D$46, "Big", E31&lt;Dash!$D$49, "Small", E31&gt;Dash!$D$47, "Good"), "Norm")</f>
        <v>Good</v>
      </c>
      <c r="V31" t="s">
        <v>33</v>
      </c>
      <c r="W31">
        <v>236</v>
      </c>
      <c r="X31" t="s">
        <v>46</v>
      </c>
    </row>
    <row r="32" spans="1:24" x14ac:dyDescent="0.25">
      <c r="A32" s="1">
        <v>45384</v>
      </c>
      <c r="B32" t="s">
        <v>19</v>
      </c>
      <c r="C32" t="s">
        <v>41</v>
      </c>
      <c r="D32" t="s">
        <v>14</v>
      </c>
      <c r="E32">
        <v>213</v>
      </c>
      <c r="F32">
        <v>700</v>
      </c>
      <c r="J32" t="s">
        <v>15</v>
      </c>
      <c r="K32" t="s">
        <v>22</v>
      </c>
      <c r="L32" t="s">
        <v>25</v>
      </c>
      <c r="M32" t="s">
        <v>23</v>
      </c>
      <c r="N32">
        <v>9</v>
      </c>
      <c r="R32" t="s">
        <v>33</v>
      </c>
      <c r="S32">
        <v>1</v>
      </c>
      <c r="T32">
        <v>219.25</v>
      </c>
      <c r="U32" t="str">
        <f>_xlfn.IFNA(_xlfn.IFS(E32&gt;Dash!$D$46, "Big", E32&lt;Dash!$D$49, "Small", E32&gt;Dash!$D$47, "Good"), "Norm")</f>
        <v>Norm</v>
      </c>
      <c r="V32" t="s">
        <v>13</v>
      </c>
      <c r="W32">
        <v>192.5</v>
      </c>
      <c r="X32" t="s">
        <v>48</v>
      </c>
    </row>
    <row r="33" spans="1:24" x14ac:dyDescent="0.25">
      <c r="A33" s="1">
        <v>45397</v>
      </c>
      <c r="B33" t="s">
        <v>23</v>
      </c>
      <c r="C33" t="s">
        <v>33</v>
      </c>
      <c r="D33" t="s">
        <v>14</v>
      </c>
      <c r="E33">
        <v>509.25</v>
      </c>
      <c r="F33">
        <v>1200</v>
      </c>
      <c r="J33" t="s">
        <v>21</v>
      </c>
      <c r="K33" t="s">
        <v>35</v>
      </c>
      <c r="L33" t="s">
        <v>17</v>
      </c>
      <c r="M33" t="s">
        <v>23</v>
      </c>
      <c r="N33">
        <v>5</v>
      </c>
      <c r="R33" t="s">
        <v>20</v>
      </c>
      <c r="S33" t="s">
        <v>46</v>
      </c>
      <c r="T33">
        <v>170</v>
      </c>
      <c r="U33" t="str">
        <f>_xlfn.IFNA(_xlfn.IFS(E33&gt;Dash!$D$46, "Big", E33&lt;Dash!$D$49, "Small", E33&gt;Dash!$D$47, "Good"), "Norm")</f>
        <v>Big</v>
      </c>
      <c r="V33" t="s">
        <v>20</v>
      </c>
      <c r="W33">
        <v>309</v>
      </c>
      <c r="X33">
        <v>1</v>
      </c>
    </row>
    <row r="34" spans="1:24" x14ac:dyDescent="0.25">
      <c r="A34" s="1">
        <v>45399</v>
      </c>
      <c r="B34" t="s">
        <v>18</v>
      </c>
      <c r="C34" t="s">
        <v>33</v>
      </c>
      <c r="D34" t="s">
        <v>14</v>
      </c>
      <c r="E34">
        <v>353.25</v>
      </c>
      <c r="F34">
        <v>200</v>
      </c>
      <c r="G34">
        <v>200</v>
      </c>
      <c r="J34" t="s">
        <v>15</v>
      </c>
      <c r="K34" t="s">
        <v>35</v>
      </c>
      <c r="L34" t="s">
        <v>17</v>
      </c>
      <c r="M34" t="s">
        <v>23</v>
      </c>
      <c r="N34">
        <v>5</v>
      </c>
      <c r="R34" t="s">
        <v>20</v>
      </c>
      <c r="S34" t="s">
        <v>14</v>
      </c>
      <c r="T34">
        <v>224.5</v>
      </c>
      <c r="U34" t="str">
        <f>_xlfn.IFNA(_xlfn.IFS(E34&gt;Dash!$D$46, "Big", E34&lt;Dash!$D$49, "Small", E34&gt;Dash!$D$47, "Good"), "Norm")</f>
        <v>Good</v>
      </c>
      <c r="V34" t="s">
        <v>20</v>
      </c>
      <c r="W34">
        <v>170</v>
      </c>
      <c r="X34" t="s">
        <v>46</v>
      </c>
    </row>
    <row r="35" spans="1:24" x14ac:dyDescent="0.25">
      <c r="A35" s="1">
        <v>45400</v>
      </c>
      <c r="B35" t="s">
        <v>36</v>
      </c>
      <c r="C35" t="s">
        <v>20</v>
      </c>
      <c r="D35" t="s">
        <v>14</v>
      </c>
      <c r="E35">
        <v>224.5</v>
      </c>
      <c r="F35">
        <v>900</v>
      </c>
      <c r="G35">
        <v>1000</v>
      </c>
      <c r="J35" t="s">
        <v>45</v>
      </c>
      <c r="K35" t="s">
        <v>22</v>
      </c>
      <c r="L35" t="s">
        <v>17</v>
      </c>
      <c r="M35" t="s">
        <v>23</v>
      </c>
      <c r="N35">
        <v>5</v>
      </c>
      <c r="O35" t="s">
        <v>62</v>
      </c>
      <c r="R35" t="s">
        <v>33</v>
      </c>
      <c r="S35" t="s">
        <v>14</v>
      </c>
      <c r="T35">
        <v>440</v>
      </c>
      <c r="U35" t="str">
        <f>_xlfn.IFNA(_xlfn.IFS(E35&gt;Dash!$D$46, "Big", E35&lt;Dash!$D$49, "Small", E35&gt;Dash!$D$47, "Good"), "Norm")</f>
        <v>Norm</v>
      </c>
      <c r="V35" t="s">
        <v>33</v>
      </c>
      <c r="W35">
        <v>353.25</v>
      </c>
      <c r="X35" t="s">
        <v>14</v>
      </c>
    </row>
    <row r="36" spans="1:24" x14ac:dyDescent="0.25">
      <c r="A36" s="1">
        <v>45401</v>
      </c>
      <c r="B36" t="s">
        <v>26</v>
      </c>
      <c r="C36" t="s">
        <v>33</v>
      </c>
      <c r="D36" t="s">
        <v>14</v>
      </c>
      <c r="E36">
        <v>440</v>
      </c>
      <c r="F36">
        <v>1900</v>
      </c>
      <c r="J36" t="s">
        <v>37</v>
      </c>
      <c r="K36" t="s">
        <v>35</v>
      </c>
      <c r="L36" t="s">
        <v>32</v>
      </c>
      <c r="M36" t="s">
        <v>23</v>
      </c>
      <c r="N36">
        <v>5</v>
      </c>
      <c r="O36" t="s">
        <v>61</v>
      </c>
      <c r="R36" t="s">
        <v>33</v>
      </c>
      <c r="S36">
        <v>1</v>
      </c>
      <c r="T36">
        <v>299.5</v>
      </c>
      <c r="U36" t="str">
        <f>_xlfn.IFNA(_xlfn.IFS(E36&gt;Dash!$D$46, "Big", E36&lt;Dash!$D$49, "Small", E36&gt;Dash!$D$47, "Good"), "Norm")</f>
        <v>Big</v>
      </c>
      <c r="V36" t="s">
        <v>20</v>
      </c>
      <c r="W36">
        <v>224.5</v>
      </c>
      <c r="X36" t="s">
        <v>14</v>
      </c>
    </row>
    <row r="37" spans="1:24" x14ac:dyDescent="0.25">
      <c r="A37" s="1">
        <v>45412</v>
      </c>
      <c r="B37" t="s">
        <v>19</v>
      </c>
      <c r="C37" t="s">
        <v>13</v>
      </c>
      <c r="D37" t="s">
        <v>14</v>
      </c>
      <c r="E37">
        <v>331.75</v>
      </c>
      <c r="F37">
        <v>800</v>
      </c>
      <c r="G37">
        <v>800</v>
      </c>
      <c r="J37" t="s">
        <v>45</v>
      </c>
      <c r="K37" t="s">
        <v>16</v>
      </c>
      <c r="L37" t="s">
        <v>42</v>
      </c>
      <c r="M37" t="s">
        <v>19</v>
      </c>
      <c r="N37">
        <v>14</v>
      </c>
      <c r="O37" t="s">
        <v>69</v>
      </c>
      <c r="R37" t="s">
        <v>33</v>
      </c>
      <c r="S37" t="s">
        <v>46</v>
      </c>
      <c r="T37">
        <v>394</v>
      </c>
      <c r="U37" t="str">
        <f>_xlfn.IFNA(_xlfn.IFS(E37&gt;Dash!$D$46, "Big", E37&lt;Dash!$D$49, "Small", E37&gt;Dash!$D$47, "Good"), "Norm")</f>
        <v>Good</v>
      </c>
      <c r="V37" t="s">
        <v>33</v>
      </c>
      <c r="W37">
        <v>157.75</v>
      </c>
      <c r="X37" t="s">
        <v>28</v>
      </c>
    </row>
    <row r="38" spans="1:24" x14ac:dyDescent="0.25">
      <c r="A38" s="1">
        <v>45420</v>
      </c>
      <c r="B38" t="s">
        <v>18</v>
      </c>
      <c r="C38" t="s">
        <v>33</v>
      </c>
      <c r="D38" t="s">
        <v>14</v>
      </c>
      <c r="E38">
        <v>169.75</v>
      </c>
      <c r="F38">
        <v>700</v>
      </c>
      <c r="G38">
        <v>900</v>
      </c>
      <c r="J38" t="s">
        <v>15</v>
      </c>
      <c r="K38" t="s">
        <v>25</v>
      </c>
      <c r="L38" t="s">
        <v>35</v>
      </c>
      <c r="M38" t="s">
        <v>36</v>
      </c>
      <c r="N38">
        <v>3</v>
      </c>
      <c r="R38" t="s">
        <v>20</v>
      </c>
      <c r="S38">
        <v>1</v>
      </c>
      <c r="T38">
        <v>130.5</v>
      </c>
      <c r="U38" t="str">
        <f>_xlfn.IFNA(_xlfn.IFS(E38&gt;Dash!$D$46, "Big", E38&lt;Dash!$D$49, "Small", E38&gt;Dash!$D$47, "Good"), "Norm")</f>
        <v>Norm</v>
      </c>
      <c r="V38" t="s">
        <v>20</v>
      </c>
      <c r="W38">
        <v>106.25</v>
      </c>
      <c r="X38" t="s">
        <v>28</v>
      </c>
    </row>
    <row r="39" spans="1:24" x14ac:dyDescent="0.25">
      <c r="A39" s="1">
        <v>45429</v>
      </c>
      <c r="B39" t="s">
        <v>26</v>
      </c>
      <c r="C39" t="s">
        <v>33</v>
      </c>
      <c r="D39" t="s">
        <v>14</v>
      </c>
      <c r="E39">
        <v>141.75</v>
      </c>
      <c r="F39">
        <v>400</v>
      </c>
      <c r="G39">
        <v>400</v>
      </c>
      <c r="J39" t="s">
        <v>15</v>
      </c>
      <c r="K39" t="s">
        <v>35</v>
      </c>
      <c r="L39" t="s">
        <v>17</v>
      </c>
      <c r="M39" t="s">
        <v>19</v>
      </c>
      <c r="N39">
        <v>10</v>
      </c>
      <c r="O39" t="s">
        <v>61</v>
      </c>
      <c r="R39" t="s">
        <v>33</v>
      </c>
      <c r="S39" t="s">
        <v>28</v>
      </c>
      <c r="T39">
        <v>159.25</v>
      </c>
      <c r="U39" t="str">
        <f>_xlfn.IFNA(_xlfn.IFS(E39&gt;Dash!$D$46, "Big", E39&lt;Dash!$D$49, "Small", E39&gt;Dash!$D$47, "Good"), "Norm")</f>
        <v>Small</v>
      </c>
      <c r="V39" t="s">
        <v>33</v>
      </c>
      <c r="W39">
        <v>117</v>
      </c>
      <c r="X39" t="s">
        <v>43</v>
      </c>
    </row>
    <row r="40" spans="1:24" x14ac:dyDescent="0.25">
      <c r="A40" s="1">
        <v>45441</v>
      </c>
      <c r="B40" t="s">
        <v>18</v>
      </c>
      <c r="C40" t="s">
        <v>13</v>
      </c>
      <c r="D40" t="s">
        <v>14</v>
      </c>
      <c r="E40">
        <v>124.5</v>
      </c>
      <c r="F40">
        <v>400</v>
      </c>
      <c r="G40">
        <v>900</v>
      </c>
      <c r="J40" t="s">
        <v>15</v>
      </c>
      <c r="K40" t="s">
        <v>16</v>
      </c>
      <c r="L40" t="s">
        <v>42</v>
      </c>
      <c r="M40" t="s">
        <v>19</v>
      </c>
      <c r="N40">
        <v>5</v>
      </c>
      <c r="R40" t="s">
        <v>33</v>
      </c>
      <c r="S40" t="s">
        <v>14</v>
      </c>
      <c r="T40">
        <v>240.75</v>
      </c>
      <c r="U40" t="str">
        <f>_xlfn.IFNA(_xlfn.IFS(E40&gt;Dash!$D$46, "Big", E40&lt;Dash!$D$49, "Small", E40&gt;Dash!$D$47, "Good"), "Norm")</f>
        <v>Small</v>
      </c>
      <c r="V40" t="s">
        <v>20</v>
      </c>
      <c r="W40">
        <v>126</v>
      </c>
      <c r="X40" t="s">
        <v>53</v>
      </c>
    </row>
    <row r="41" spans="1:24" x14ac:dyDescent="0.25">
      <c r="A41" s="1">
        <v>45442</v>
      </c>
      <c r="B41" t="s">
        <v>36</v>
      </c>
      <c r="C41" t="s">
        <v>33</v>
      </c>
      <c r="D41" t="s">
        <v>14</v>
      </c>
      <c r="E41">
        <v>240.75</v>
      </c>
      <c r="F41">
        <v>1800</v>
      </c>
      <c r="G41">
        <v>600</v>
      </c>
      <c r="J41" t="s">
        <v>37</v>
      </c>
      <c r="K41" t="s">
        <v>35</v>
      </c>
      <c r="L41" t="s">
        <v>17</v>
      </c>
      <c r="M41" t="s">
        <v>19</v>
      </c>
      <c r="N41">
        <v>5</v>
      </c>
      <c r="R41" t="s">
        <v>33</v>
      </c>
      <c r="S41" t="s">
        <v>46</v>
      </c>
      <c r="T41">
        <v>427</v>
      </c>
      <c r="U41" t="str">
        <f>_xlfn.IFNA(_xlfn.IFS(E41&gt;Dash!$D$46, "Big", E41&lt;Dash!$D$49, "Small", E41&gt;Dash!$D$47, "Good"), "Norm")</f>
        <v>Norm</v>
      </c>
      <c r="V41" t="s">
        <v>13</v>
      </c>
      <c r="W41">
        <v>124.5</v>
      </c>
      <c r="X41" t="s">
        <v>14</v>
      </c>
    </row>
    <row r="42" spans="1:24" x14ac:dyDescent="0.25">
      <c r="A42" s="1">
        <v>45467</v>
      </c>
      <c r="B42" t="s">
        <v>23</v>
      </c>
      <c r="C42" t="s">
        <v>13</v>
      </c>
      <c r="D42" t="s">
        <v>14</v>
      </c>
      <c r="E42">
        <v>255</v>
      </c>
      <c r="F42">
        <v>900</v>
      </c>
      <c r="G42">
        <v>900</v>
      </c>
      <c r="J42" t="s">
        <v>45</v>
      </c>
      <c r="K42" t="s">
        <v>16</v>
      </c>
      <c r="L42" t="s">
        <v>17</v>
      </c>
      <c r="M42" t="s">
        <v>19</v>
      </c>
      <c r="N42">
        <v>6</v>
      </c>
      <c r="R42" t="s">
        <v>20</v>
      </c>
      <c r="S42" t="s">
        <v>46</v>
      </c>
      <c r="T42">
        <v>189</v>
      </c>
      <c r="U42" t="str">
        <f>_xlfn.IFNA(_xlfn.IFS(E42&gt;Dash!$D$46, "Big", E42&lt;Dash!$D$49, "Small", E42&gt;Dash!$D$47, "Good"), "Norm")</f>
        <v>Good</v>
      </c>
      <c r="V42" t="s">
        <v>41</v>
      </c>
      <c r="W42">
        <v>158.5</v>
      </c>
      <c r="X42" t="s">
        <v>46</v>
      </c>
    </row>
    <row r="43" spans="1:24" x14ac:dyDescent="0.25">
      <c r="A43" s="1">
        <v>45490</v>
      </c>
      <c r="B43" t="s">
        <v>18</v>
      </c>
      <c r="C43" t="s">
        <v>13</v>
      </c>
      <c r="D43" t="s">
        <v>14</v>
      </c>
      <c r="E43">
        <v>332.5</v>
      </c>
      <c r="F43">
        <v>200</v>
      </c>
      <c r="J43" t="s">
        <v>15</v>
      </c>
      <c r="K43" t="s">
        <v>16</v>
      </c>
      <c r="L43" t="s">
        <v>17</v>
      </c>
      <c r="M43" t="s">
        <v>23</v>
      </c>
      <c r="N43">
        <v>5</v>
      </c>
      <c r="R43" t="s">
        <v>20</v>
      </c>
      <c r="S43" t="s">
        <v>14</v>
      </c>
      <c r="T43">
        <v>403.75</v>
      </c>
      <c r="U43" t="str">
        <f>_xlfn.IFNA(_xlfn.IFS(E43&gt;Dash!$D$46, "Big", E43&lt;Dash!$D$49, "Small", E43&gt;Dash!$D$47, "Good"), "Norm")</f>
        <v>Good</v>
      </c>
      <c r="V43" t="s">
        <v>33</v>
      </c>
      <c r="W43">
        <v>220</v>
      </c>
      <c r="X43" t="s">
        <v>46</v>
      </c>
    </row>
    <row r="44" spans="1:24" x14ac:dyDescent="0.25">
      <c r="A44" s="1">
        <v>45491</v>
      </c>
      <c r="B44" t="s">
        <v>36</v>
      </c>
      <c r="C44" t="s">
        <v>20</v>
      </c>
      <c r="D44" t="s">
        <v>14</v>
      </c>
      <c r="E44">
        <v>403.75</v>
      </c>
      <c r="F44">
        <v>1000</v>
      </c>
      <c r="G44">
        <v>1000</v>
      </c>
      <c r="J44" t="s">
        <v>45</v>
      </c>
      <c r="K44" t="s">
        <v>22</v>
      </c>
      <c r="L44" t="s">
        <v>17</v>
      </c>
      <c r="M44" t="s">
        <v>23</v>
      </c>
      <c r="N44">
        <v>5</v>
      </c>
      <c r="O44" t="s">
        <v>62</v>
      </c>
      <c r="R44" t="s">
        <v>20</v>
      </c>
      <c r="S44" t="s">
        <v>14</v>
      </c>
      <c r="T44">
        <v>322.5</v>
      </c>
      <c r="U44" t="str">
        <f>_xlfn.IFNA(_xlfn.IFS(E44&gt;Dash!$D$46, "Big", E44&lt;Dash!$D$49, "Small", E44&gt;Dash!$D$47, "Good"), "Norm")</f>
        <v>Big</v>
      </c>
      <c r="V44" t="s">
        <v>13</v>
      </c>
      <c r="W44">
        <v>332.5</v>
      </c>
      <c r="X44" t="s">
        <v>14</v>
      </c>
    </row>
    <row r="45" spans="1:24" x14ac:dyDescent="0.25">
      <c r="A45" s="1">
        <v>45492</v>
      </c>
      <c r="B45" t="s">
        <v>26</v>
      </c>
      <c r="C45" t="s">
        <v>20</v>
      </c>
      <c r="D45" t="s">
        <v>14</v>
      </c>
      <c r="E45">
        <v>322.5</v>
      </c>
      <c r="F45">
        <v>300</v>
      </c>
      <c r="G45">
        <v>300</v>
      </c>
      <c r="J45" t="s">
        <v>15</v>
      </c>
      <c r="K45" t="s">
        <v>22</v>
      </c>
      <c r="L45" t="s">
        <v>17</v>
      </c>
      <c r="M45" t="s">
        <v>23</v>
      </c>
      <c r="N45">
        <v>5</v>
      </c>
      <c r="O45" t="s">
        <v>61</v>
      </c>
      <c r="R45" t="s">
        <v>13</v>
      </c>
      <c r="S45" t="s">
        <v>28</v>
      </c>
      <c r="T45">
        <v>235</v>
      </c>
      <c r="U45" t="str">
        <f>_xlfn.IFNA(_xlfn.IFS(E45&gt;Dash!$D$46, "Big", E45&lt;Dash!$D$49, "Small", E45&gt;Dash!$D$47, "Good"), "Norm")</f>
        <v>Good</v>
      </c>
      <c r="V45" t="s">
        <v>20</v>
      </c>
      <c r="W45">
        <v>403.75</v>
      </c>
      <c r="X45" t="s">
        <v>14</v>
      </c>
    </row>
    <row r="46" spans="1:24" x14ac:dyDescent="0.25">
      <c r="A46" s="1">
        <v>45498</v>
      </c>
      <c r="B46" t="s">
        <v>36</v>
      </c>
      <c r="C46" t="s">
        <v>33</v>
      </c>
      <c r="D46" t="s">
        <v>14</v>
      </c>
      <c r="E46">
        <v>507.25</v>
      </c>
      <c r="F46">
        <v>200</v>
      </c>
      <c r="G46">
        <v>200</v>
      </c>
      <c r="J46" t="s">
        <v>15</v>
      </c>
      <c r="K46" t="s">
        <v>25</v>
      </c>
      <c r="L46" t="s">
        <v>32</v>
      </c>
      <c r="M46" t="s">
        <v>18</v>
      </c>
      <c r="N46">
        <v>5</v>
      </c>
      <c r="R46" t="s">
        <v>13</v>
      </c>
      <c r="S46">
        <v>1</v>
      </c>
      <c r="T46">
        <v>257.5</v>
      </c>
      <c r="U46" t="str">
        <f>_xlfn.IFNA(_xlfn.IFS(E46&gt;Dash!$D$46, "Big", E46&lt;Dash!$D$49, "Small", E46&gt;Dash!$D$47, "Good"), "Norm")</f>
        <v>Big</v>
      </c>
      <c r="V46" t="s">
        <v>13</v>
      </c>
      <c r="W46">
        <v>536.25</v>
      </c>
      <c r="X46" t="s">
        <v>47</v>
      </c>
    </row>
    <row r="47" spans="1:24" x14ac:dyDescent="0.25">
      <c r="A47" s="1">
        <v>45503</v>
      </c>
      <c r="B47" t="s">
        <v>19</v>
      </c>
      <c r="C47" t="s">
        <v>33</v>
      </c>
      <c r="D47" t="s">
        <v>14</v>
      </c>
      <c r="E47">
        <v>516.75</v>
      </c>
      <c r="F47">
        <v>2100</v>
      </c>
      <c r="G47">
        <v>2300</v>
      </c>
      <c r="J47" t="s">
        <v>37</v>
      </c>
      <c r="K47" t="s">
        <v>35</v>
      </c>
      <c r="L47" t="s">
        <v>17</v>
      </c>
      <c r="M47" t="s">
        <v>19</v>
      </c>
      <c r="N47">
        <v>13</v>
      </c>
      <c r="O47" t="s">
        <v>72</v>
      </c>
      <c r="R47" t="s">
        <v>13</v>
      </c>
      <c r="S47" t="s">
        <v>28</v>
      </c>
      <c r="T47">
        <v>327.5</v>
      </c>
      <c r="U47" t="str">
        <f>_xlfn.IFNA(_xlfn.IFS(E47&gt;Dash!$D$46, "Big", E47&lt;Dash!$D$49, "Small", E47&gt;Dash!$D$47, "Good"), "Norm")</f>
        <v>Big</v>
      </c>
      <c r="V47" t="s">
        <v>33</v>
      </c>
      <c r="W47">
        <v>264</v>
      </c>
      <c r="X47" t="s">
        <v>43</v>
      </c>
    </row>
    <row r="48" spans="1:24" x14ac:dyDescent="0.25">
      <c r="A48" s="1">
        <v>45506</v>
      </c>
      <c r="B48" t="s">
        <v>26</v>
      </c>
      <c r="C48" t="s">
        <v>24</v>
      </c>
      <c r="D48" t="s">
        <v>14</v>
      </c>
      <c r="E48">
        <v>375.75</v>
      </c>
      <c r="F48">
        <v>1800</v>
      </c>
      <c r="G48">
        <v>1800</v>
      </c>
      <c r="J48" t="s">
        <v>37</v>
      </c>
      <c r="K48" t="s">
        <v>16</v>
      </c>
      <c r="L48" t="s">
        <v>25</v>
      </c>
      <c r="M48" t="s">
        <v>19</v>
      </c>
      <c r="N48">
        <v>13</v>
      </c>
      <c r="R48">
        <v>0</v>
      </c>
      <c r="S48" t="s">
        <v>47</v>
      </c>
      <c r="T48">
        <v>926.5</v>
      </c>
      <c r="U48" t="str">
        <f>_xlfn.IFNA(_xlfn.IFS(E48&gt;Dash!$D$46, "Big", E48&lt;Dash!$D$49, "Small", E48&gt;Dash!$D$47, "Good"), "Norm")</f>
        <v>Good</v>
      </c>
      <c r="V48" t="s">
        <v>13</v>
      </c>
      <c r="W48">
        <v>813.75</v>
      </c>
      <c r="X48" t="s">
        <v>48</v>
      </c>
    </row>
    <row r="49" spans="1:24" x14ac:dyDescent="0.25">
      <c r="A49" s="1">
        <v>45530</v>
      </c>
      <c r="B49" t="s">
        <v>23</v>
      </c>
      <c r="C49" t="s">
        <v>41</v>
      </c>
      <c r="D49" t="s">
        <v>14</v>
      </c>
      <c r="E49">
        <v>296</v>
      </c>
      <c r="F49">
        <v>1000</v>
      </c>
      <c r="G49">
        <v>1000</v>
      </c>
      <c r="J49" t="s">
        <v>45</v>
      </c>
      <c r="K49" t="s">
        <v>22</v>
      </c>
      <c r="L49" t="s">
        <v>25</v>
      </c>
      <c r="M49" t="s">
        <v>19</v>
      </c>
      <c r="N49">
        <v>4</v>
      </c>
      <c r="R49" t="s">
        <v>33</v>
      </c>
      <c r="S49" t="s">
        <v>46</v>
      </c>
      <c r="T49">
        <v>252.75</v>
      </c>
      <c r="U49" t="str">
        <f>_xlfn.IFNA(_xlfn.IFS(E49&gt;Dash!$D$46, "Big", E49&lt;Dash!$D$49, "Small", E49&gt;Dash!$D$47, "Good"), "Norm")</f>
        <v>Good</v>
      </c>
      <c r="V49" t="s">
        <v>33</v>
      </c>
      <c r="W49">
        <v>312.5</v>
      </c>
      <c r="X49">
        <v>1</v>
      </c>
    </row>
    <row r="50" spans="1:24" x14ac:dyDescent="0.25">
      <c r="A50" s="1">
        <v>45532</v>
      </c>
      <c r="B50" t="s">
        <v>18</v>
      </c>
      <c r="C50" t="s">
        <v>20</v>
      </c>
      <c r="D50" t="s">
        <v>14</v>
      </c>
      <c r="E50">
        <v>378</v>
      </c>
      <c r="F50">
        <v>1100</v>
      </c>
      <c r="J50" t="s">
        <v>45</v>
      </c>
      <c r="K50" t="s">
        <v>22</v>
      </c>
      <c r="L50" t="s">
        <v>42</v>
      </c>
      <c r="M50" t="s">
        <v>19</v>
      </c>
      <c r="N50">
        <v>4</v>
      </c>
      <c r="O50" t="s">
        <v>66</v>
      </c>
      <c r="R50" t="s">
        <v>24</v>
      </c>
      <c r="S50" t="s">
        <v>47</v>
      </c>
      <c r="T50">
        <v>356.5</v>
      </c>
      <c r="U50" t="str">
        <f>_xlfn.IFNA(_xlfn.IFS(E50&gt;Dash!$D$46, "Big", E50&lt;Dash!$D$49, "Small", E50&gt;Dash!$D$47, "Good"), "Norm")</f>
        <v>Good</v>
      </c>
      <c r="V50" t="s">
        <v>33</v>
      </c>
      <c r="W50">
        <v>252.75</v>
      </c>
      <c r="X50" t="s">
        <v>46</v>
      </c>
    </row>
    <row r="51" spans="1:24" x14ac:dyDescent="0.25">
      <c r="A51" s="1">
        <v>45541</v>
      </c>
      <c r="B51" t="s">
        <v>26</v>
      </c>
      <c r="C51" t="s">
        <v>33</v>
      </c>
      <c r="D51" t="s">
        <v>14</v>
      </c>
      <c r="E51">
        <v>542</v>
      </c>
      <c r="F51">
        <v>2100</v>
      </c>
      <c r="G51">
        <v>2100</v>
      </c>
      <c r="J51" t="s">
        <v>37</v>
      </c>
      <c r="K51" t="s">
        <v>35</v>
      </c>
      <c r="L51" t="s">
        <v>42</v>
      </c>
      <c r="M51" t="s">
        <v>19</v>
      </c>
      <c r="N51">
        <v>9</v>
      </c>
      <c r="R51" t="s">
        <v>13</v>
      </c>
      <c r="S51">
        <v>1</v>
      </c>
      <c r="T51">
        <v>232.75</v>
      </c>
      <c r="U51" t="str">
        <f>_xlfn.IFNA(_xlfn.IFS(E51&gt;Dash!$D$46, "Big", E51&lt;Dash!$D$49, "Small", E51&gt;Dash!$D$47, "Good"), "Norm")</f>
        <v>Big</v>
      </c>
      <c r="V51" t="s">
        <v>33</v>
      </c>
      <c r="W51">
        <v>323.25</v>
      </c>
      <c r="X51" t="s">
        <v>43</v>
      </c>
    </row>
    <row r="52" spans="1:24" x14ac:dyDescent="0.25">
      <c r="A52" s="1">
        <v>45562</v>
      </c>
      <c r="B52" t="s">
        <v>26</v>
      </c>
      <c r="C52" t="s">
        <v>33</v>
      </c>
      <c r="D52" t="s">
        <v>14</v>
      </c>
      <c r="E52">
        <v>222.75</v>
      </c>
      <c r="F52">
        <v>1400</v>
      </c>
      <c r="G52">
        <v>1400</v>
      </c>
      <c r="J52" t="s">
        <v>21</v>
      </c>
      <c r="K52" t="s">
        <v>35</v>
      </c>
      <c r="L52" t="s">
        <v>17</v>
      </c>
      <c r="M52" t="s">
        <v>23</v>
      </c>
      <c r="N52">
        <v>7</v>
      </c>
      <c r="R52" t="s">
        <v>13</v>
      </c>
      <c r="S52" t="s">
        <v>46</v>
      </c>
      <c r="T52">
        <v>230.75</v>
      </c>
      <c r="U52" t="str">
        <f>_xlfn.IFNA(_xlfn.IFS(E52&gt;Dash!$D$46, "Big", E52&lt;Dash!$D$49, "Small", E52&gt;Dash!$D$47, "Good"), "Norm")</f>
        <v>Norm</v>
      </c>
      <c r="V52" t="s">
        <v>33</v>
      </c>
      <c r="W52">
        <v>350</v>
      </c>
      <c r="X52" t="s">
        <v>28</v>
      </c>
    </row>
    <row r="53" spans="1:24" x14ac:dyDescent="0.25">
      <c r="A53" s="1">
        <v>45580</v>
      </c>
      <c r="B53" t="s">
        <v>19</v>
      </c>
      <c r="C53" t="s">
        <v>33</v>
      </c>
      <c r="D53" t="s">
        <v>14</v>
      </c>
      <c r="E53">
        <v>405.25</v>
      </c>
      <c r="F53">
        <v>1000</v>
      </c>
      <c r="G53">
        <v>1000</v>
      </c>
      <c r="J53" t="s">
        <v>45</v>
      </c>
      <c r="K53" t="s">
        <v>35</v>
      </c>
      <c r="L53" t="s">
        <v>17</v>
      </c>
      <c r="M53" t="s">
        <v>36</v>
      </c>
      <c r="N53">
        <v>3</v>
      </c>
      <c r="R53" t="s">
        <v>24</v>
      </c>
      <c r="S53" t="s">
        <v>46</v>
      </c>
      <c r="T53">
        <v>173</v>
      </c>
      <c r="U53" t="str">
        <f>_xlfn.IFNA(_xlfn.IFS(E53&gt;Dash!$D$46, "Big", E53&lt;Dash!$D$49, "Small", E53&gt;Dash!$D$47, "Good"), "Norm")</f>
        <v>Big</v>
      </c>
      <c r="V53" t="s">
        <v>24</v>
      </c>
      <c r="W53">
        <v>177.5</v>
      </c>
      <c r="X53" t="s">
        <v>28</v>
      </c>
    </row>
    <row r="54" spans="1:24" x14ac:dyDescent="0.25">
      <c r="A54" s="1">
        <v>45588</v>
      </c>
      <c r="B54" t="s">
        <v>18</v>
      </c>
      <c r="C54" t="s">
        <v>20</v>
      </c>
      <c r="D54" t="s">
        <v>14</v>
      </c>
      <c r="E54">
        <v>415.5</v>
      </c>
      <c r="F54">
        <v>1000</v>
      </c>
      <c r="G54">
        <v>1000</v>
      </c>
      <c r="J54" t="s">
        <v>45</v>
      </c>
      <c r="K54" t="s">
        <v>22</v>
      </c>
      <c r="L54" t="s">
        <v>17</v>
      </c>
      <c r="M54" t="s">
        <v>36</v>
      </c>
      <c r="N54">
        <v>3</v>
      </c>
      <c r="O54" t="s">
        <v>63</v>
      </c>
      <c r="R54" t="s">
        <v>33</v>
      </c>
      <c r="S54">
        <v>1</v>
      </c>
      <c r="T54">
        <v>166.75</v>
      </c>
      <c r="U54" t="str">
        <f>_xlfn.IFNA(_xlfn.IFS(E54&gt;Dash!$D$46, "Big", E54&lt;Dash!$D$49, "Small", E54&gt;Dash!$D$47, "Good"), "Norm")</f>
        <v>Big</v>
      </c>
      <c r="V54" t="s">
        <v>33</v>
      </c>
      <c r="W54">
        <v>242</v>
      </c>
      <c r="X54" t="s">
        <v>28</v>
      </c>
    </row>
    <row r="55" spans="1:24" x14ac:dyDescent="0.25">
      <c r="A55" s="1">
        <v>45595</v>
      </c>
      <c r="B55" t="s">
        <v>18</v>
      </c>
      <c r="C55" t="s">
        <v>13</v>
      </c>
      <c r="D55" t="s">
        <v>14</v>
      </c>
      <c r="E55">
        <v>219.75</v>
      </c>
      <c r="F55">
        <v>2000</v>
      </c>
      <c r="G55">
        <v>2200</v>
      </c>
      <c r="J55" t="s">
        <v>29</v>
      </c>
      <c r="K55" t="s">
        <v>16</v>
      </c>
      <c r="L55" t="s">
        <v>42</v>
      </c>
      <c r="M55" t="s">
        <v>19</v>
      </c>
      <c r="N55">
        <v>11</v>
      </c>
      <c r="O55" t="s">
        <v>76</v>
      </c>
      <c r="R55" t="s">
        <v>13</v>
      </c>
      <c r="S55" t="s">
        <v>14</v>
      </c>
      <c r="T55">
        <v>407.75</v>
      </c>
      <c r="U55" t="str">
        <f>_xlfn.IFNA(_xlfn.IFS(E55&gt;Dash!$D$46, "Big", E55&lt;Dash!$D$49, "Small", E55&gt;Dash!$D$47, "Good"), "Norm")</f>
        <v>Norm</v>
      </c>
      <c r="V55" t="s">
        <v>33</v>
      </c>
      <c r="W55">
        <v>314.25</v>
      </c>
      <c r="X55" t="s">
        <v>38</v>
      </c>
    </row>
    <row r="56" spans="1:24" x14ac:dyDescent="0.25">
      <c r="A56" s="1">
        <v>45596</v>
      </c>
      <c r="B56" t="s">
        <v>36</v>
      </c>
      <c r="C56" t="s">
        <v>13</v>
      </c>
      <c r="D56" t="s">
        <v>14</v>
      </c>
      <c r="E56">
        <v>407.75</v>
      </c>
      <c r="F56">
        <v>1800</v>
      </c>
      <c r="J56" t="s">
        <v>37</v>
      </c>
      <c r="K56" t="s">
        <v>16</v>
      </c>
      <c r="L56" t="s">
        <v>17</v>
      </c>
      <c r="M56" t="s">
        <v>19</v>
      </c>
      <c r="N56">
        <v>11</v>
      </c>
      <c r="O56" t="s">
        <v>73</v>
      </c>
      <c r="R56" t="s">
        <v>24</v>
      </c>
      <c r="S56">
        <v>1</v>
      </c>
      <c r="T56">
        <v>230.5</v>
      </c>
      <c r="U56" t="str">
        <f>_xlfn.IFNA(_xlfn.IFS(E56&gt;Dash!$D$46, "Big", E56&lt;Dash!$D$49, "Small", E56&gt;Dash!$D$47, "Good"), "Norm")</f>
        <v>Big</v>
      </c>
      <c r="V56" t="s">
        <v>13</v>
      </c>
      <c r="W56">
        <v>219.75</v>
      </c>
      <c r="X56" t="s">
        <v>14</v>
      </c>
    </row>
    <row r="57" spans="1:24" x14ac:dyDescent="0.25">
      <c r="A57" s="1">
        <v>45600</v>
      </c>
      <c r="B57" t="s">
        <v>23</v>
      </c>
      <c r="C57" t="s">
        <v>24</v>
      </c>
      <c r="D57" t="s">
        <v>14</v>
      </c>
      <c r="E57">
        <v>213.75</v>
      </c>
      <c r="F57">
        <v>900</v>
      </c>
      <c r="G57">
        <v>900</v>
      </c>
      <c r="J57" t="s">
        <v>45</v>
      </c>
      <c r="K57" t="s">
        <v>16</v>
      </c>
      <c r="L57" t="s">
        <v>25</v>
      </c>
      <c r="M57" t="s">
        <v>19</v>
      </c>
      <c r="N57">
        <v>7</v>
      </c>
      <c r="R57" t="s">
        <v>13</v>
      </c>
      <c r="S57" t="s">
        <v>28</v>
      </c>
      <c r="T57">
        <v>265.25</v>
      </c>
      <c r="U57" t="str">
        <f>_xlfn.IFNA(_xlfn.IFS(E57&gt;Dash!$D$46, "Big", E57&lt;Dash!$D$49, "Small", E57&gt;Dash!$D$47, "Good"), "Norm")</f>
        <v>Norm</v>
      </c>
      <c r="V57" t="s">
        <v>24</v>
      </c>
      <c r="W57">
        <v>230.5</v>
      </c>
      <c r="X57">
        <v>1</v>
      </c>
    </row>
    <row r="58" spans="1:24" x14ac:dyDescent="0.25">
      <c r="A58" s="1">
        <v>45608</v>
      </c>
      <c r="B58" t="s">
        <v>19</v>
      </c>
      <c r="C58" t="s">
        <v>33</v>
      </c>
      <c r="D58" t="s">
        <v>14</v>
      </c>
      <c r="E58">
        <v>197</v>
      </c>
      <c r="F58">
        <v>1200</v>
      </c>
      <c r="G58">
        <v>1300</v>
      </c>
      <c r="J58" t="s">
        <v>21</v>
      </c>
      <c r="K58" t="s">
        <v>35</v>
      </c>
      <c r="L58" t="s">
        <v>17</v>
      </c>
      <c r="M58" t="s">
        <v>18</v>
      </c>
      <c r="N58">
        <v>9</v>
      </c>
      <c r="R58" t="s">
        <v>33</v>
      </c>
      <c r="S58" t="s">
        <v>43</v>
      </c>
      <c r="T58">
        <v>212</v>
      </c>
      <c r="U58" t="str">
        <f>_xlfn.IFNA(_xlfn.IFS(E58&gt;Dash!$D$46, "Big", E58&lt;Dash!$D$49, "Small", E58&gt;Dash!$D$47, "Good"), "Norm")</f>
        <v>Norm</v>
      </c>
      <c r="V58" t="s">
        <v>33</v>
      </c>
      <c r="W58">
        <v>242.5</v>
      </c>
      <c r="X58" t="s">
        <v>48</v>
      </c>
    </row>
    <row r="59" spans="1:24" x14ac:dyDescent="0.25">
      <c r="A59" s="1">
        <v>45611</v>
      </c>
      <c r="B59" t="s">
        <v>26</v>
      </c>
      <c r="C59" t="s">
        <v>13</v>
      </c>
      <c r="D59" t="s">
        <v>14</v>
      </c>
      <c r="E59">
        <v>458.75</v>
      </c>
      <c r="F59">
        <v>1800</v>
      </c>
      <c r="J59" t="s">
        <v>37</v>
      </c>
      <c r="K59" t="s">
        <v>16</v>
      </c>
      <c r="L59" t="s">
        <v>17</v>
      </c>
      <c r="M59" t="s">
        <v>18</v>
      </c>
      <c r="N59">
        <v>9</v>
      </c>
      <c r="O59" t="s">
        <v>61</v>
      </c>
      <c r="R59" t="s">
        <v>24</v>
      </c>
      <c r="S59">
        <v>1</v>
      </c>
      <c r="T59">
        <v>242.75</v>
      </c>
      <c r="U59" t="str">
        <f>_xlfn.IFNA(_xlfn.IFS(E59&gt;Dash!$D$46, "Big", E59&lt;Dash!$D$49, "Small", E59&gt;Dash!$D$47, "Good"), "Norm")</f>
        <v>Big</v>
      </c>
      <c r="V59" t="s">
        <v>20</v>
      </c>
      <c r="W59">
        <v>205.5</v>
      </c>
      <c r="X59" t="s">
        <v>48</v>
      </c>
    </row>
    <row r="60" spans="1:24" x14ac:dyDescent="0.25">
      <c r="A60" s="1">
        <v>45623</v>
      </c>
      <c r="B60" t="s">
        <v>18</v>
      </c>
      <c r="C60" t="s">
        <v>13</v>
      </c>
      <c r="D60" t="s">
        <v>14</v>
      </c>
      <c r="E60">
        <v>289.75</v>
      </c>
      <c r="F60">
        <v>1000</v>
      </c>
      <c r="G60">
        <v>1300</v>
      </c>
      <c r="J60" t="s">
        <v>45</v>
      </c>
      <c r="K60" t="s">
        <v>16</v>
      </c>
      <c r="L60" t="s">
        <v>17</v>
      </c>
      <c r="M60" t="s">
        <v>19</v>
      </c>
      <c r="N60">
        <v>5</v>
      </c>
      <c r="R60" t="s">
        <v>33</v>
      </c>
      <c r="S60" t="s">
        <v>28</v>
      </c>
      <c r="T60">
        <v>212</v>
      </c>
      <c r="U60" t="str">
        <f>_xlfn.IFNA(_xlfn.IFS(E60&gt;Dash!$D$46, "Big", E60&lt;Dash!$D$49, "Small", E60&gt;Dash!$D$47, "Good"), "Norm")</f>
        <v>Good</v>
      </c>
      <c r="V60" t="s">
        <v>24</v>
      </c>
      <c r="W60">
        <v>121</v>
      </c>
      <c r="X60" t="s">
        <v>46</v>
      </c>
    </row>
    <row r="61" spans="1:24" x14ac:dyDescent="0.25">
      <c r="A61" s="1">
        <v>45636</v>
      </c>
      <c r="B61" t="s">
        <v>19</v>
      </c>
      <c r="C61" t="s">
        <v>33</v>
      </c>
      <c r="D61" t="s">
        <v>14</v>
      </c>
      <c r="E61">
        <v>254</v>
      </c>
      <c r="F61">
        <v>1400</v>
      </c>
      <c r="J61" t="s">
        <v>21</v>
      </c>
      <c r="K61" t="s">
        <v>35</v>
      </c>
      <c r="L61" t="s">
        <v>17</v>
      </c>
      <c r="M61" t="s">
        <v>18</v>
      </c>
      <c r="N61">
        <v>6</v>
      </c>
      <c r="R61" t="s">
        <v>20</v>
      </c>
      <c r="S61" t="s">
        <v>28</v>
      </c>
      <c r="T61">
        <v>383.75</v>
      </c>
      <c r="U61" t="str">
        <f>_xlfn.IFNA(_xlfn.IFS(E61&gt;Dash!$D$46, "Big", E61&lt;Dash!$D$49, "Small", E61&gt;Dash!$D$47, "Good"), "Norm")</f>
        <v>Good</v>
      </c>
      <c r="V61" t="s">
        <v>41</v>
      </c>
      <c r="W61">
        <v>212.75</v>
      </c>
      <c r="X61" t="s">
        <v>43</v>
      </c>
    </row>
    <row r="62" spans="1:24" x14ac:dyDescent="0.25">
      <c r="A62" s="1">
        <v>45644</v>
      </c>
      <c r="B62" t="s">
        <v>18</v>
      </c>
      <c r="C62" t="s">
        <v>20</v>
      </c>
      <c r="D62" t="s">
        <v>14</v>
      </c>
      <c r="E62">
        <v>948.75</v>
      </c>
      <c r="F62">
        <v>1800</v>
      </c>
      <c r="G62">
        <v>1800</v>
      </c>
      <c r="J62" t="s">
        <v>37</v>
      </c>
      <c r="K62" t="s">
        <v>22</v>
      </c>
      <c r="L62" t="s">
        <v>17</v>
      </c>
      <c r="M62" t="s">
        <v>23</v>
      </c>
      <c r="N62">
        <v>11</v>
      </c>
      <c r="R62" t="s">
        <v>33</v>
      </c>
      <c r="S62">
        <v>1</v>
      </c>
      <c r="T62">
        <v>334.75</v>
      </c>
      <c r="U62" t="str">
        <f>_xlfn.IFNA(_xlfn.IFS(E62&gt;Dash!$D$46, "Big", E62&lt;Dash!$D$49, "Small", E62&gt;Dash!$D$47, "Good"), "Norm")</f>
        <v>Big</v>
      </c>
      <c r="V62" t="s">
        <v>24</v>
      </c>
      <c r="W62">
        <v>141.75</v>
      </c>
      <c r="X62">
        <v>1</v>
      </c>
    </row>
    <row r="63" spans="1:24" x14ac:dyDescent="0.25">
      <c r="A63" s="1">
        <v>45653</v>
      </c>
      <c r="B63" t="s">
        <v>26</v>
      </c>
      <c r="C63" t="s">
        <v>13</v>
      </c>
      <c r="D63" t="s">
        <v>14</v>
      </c>
      <c r="E63">
        <v>442</v>
      </c>
      <c r="F63">
        <v>900</v>
      </c>
      <c r="J63" t="s">
        <v>27</v>
      </c>
      <c r="K63" t="s">
        <v>16</v>
      </c>
      <c r="L63" t="s">
        <v>17</v>
      </c>
      <c r="M63" t="s">
        <v>36</v>
      </c>
      <c r="N63">
        <v>1</v>
      </c>
      <c r="R63" t="s">
        <v>24</v>
      </c>
      <c r="S63" t="s">
        <v>14</v>
      </c>
      <c r="T63">
        <v>318</v>
      </c>
      <c r="U63" t="str">
        <f>_xlfn.IFNA(_xlfn.IFS(E63&gt;Dash!$D$46, "Big", E63&lt;Dash!$D$49, "Small", E63&gt;Dash!$D$47, "Good"), "Norm")</f>
        <v>Big</v>
      </c>
      <c r="V63" t="s">
        <v>24</v>
      </c>
      <c r="W63">
        <v>206</v>
      </c>
      <c r="X63" t="s">
        <v>28</v>
      </c>
    </row>
    <row r="64" spans="1:24" x14ac:dyDescent="0.25">
      <c r="A64" s="1">
        <v>45656</v>
      </c>
      <c r="B64" t="s">
        <v>23</v>
      </c>
      <c r="C64" t="s">
        <v>24</v>
      </c>
      <c r="D64" t="s">
        <v>14</v>
      </c>
      <c r="E64">
        <v>318</v>
      </c>
      <c r="F64">
        <v>700</v>
      </c>
      <c r="G64">
        <v>1200</v>
      </c>
      <c r="J64" t="s">
        <v>15</v>
      </c>
      <c r="K64" t="s">
        <v>16</v>
      </c>
      <c r="L64" t="s">
        <v>25</v>
      </c>
      <c r="M64" t="s">
        <v>36</v>
      </c>
      <c r="N64">
        <v>2</v>
      </c>
      <c r="R64" t="s">
        <v>20</v>
      </c>
      <c r="S64" t="s">
        <v>14</v>
      </c>
      <c r="T64">
        <v>317.5</v>
      </c>
      <c r="U64" t="str">
        <f>_xlfn.IFNA(_xlfn.IFS(E64&gt;Dash!$D$46, "Big", E64&lt;Dash!$D$49, "Small", E64&gt;Dash!$D$47, "Good"), "Norm")</f>
        <v>Good</v>
      </c>
      <c r="V64" t="s">
        <v>13</v>
      </c>
      <c r="W64">
        <v>442</v>
      </c>
      <c r="X64" t="s">
        <v>14</v>
      </c>
    </row>
    <row r="65" spans="1:24" x14ac:dyDescent="0.25">
      <c r="A65" s="1">
        <v>45657</v>
      </c>
      <c r="B65" t="s">
        <v>19</v>
      </c>
      <c r="C65" t="s">
        <v>20</v>
      </c>
      <c r="D65" t="s">
        <v>14</v>
      </c>
      <c r="E65">
        <v>317.5</v>
      </c>
      <c r="F65">
        <v>1200</v>
      </c>
      <c r="G65">
        <v>1200</v>
      </c>
      <c r="J65" t="s">
        <v>21</v>
      </c>
      <c r="K65" t="s">
        <v>22</v>
      </c>
      <c r="L65" t="s">
        <v>17</v>
      </c>
      <c r="M65" t="s">
        <v>36</v>
      </c>
      <c r="N65">
        <v>2</v>
      </c>
      <c r="R65">
        <v>0</v>
      </c>
      <c r="S65">
        <v>0</v>
      </c>
      <c r="T65">
        <v>0</v>
      </c>
      <c r="U65" t="str">
        <f>_xlfn.IFNA(_xlfn.IFS(E65&gt;Dash!$D$46, "Big", E65&lt;Dash!$D$49, "Small", E65&gt;Dash!$D$47, "Good"), "Norm")</f>
        <v>Good</v>
      </c>
      <c r="V65" t="s">
        <v>24</v>
      </c>
      <c r="W65">
        <v>318</v>
      </c>
      <c r="X65" t="s">
        <v>14</v>
      </c>
    </row>
    <row r="66" spans="1:24" x14ac:dyDescent="0.25">
      <c r="A66" s="1">
        <v>45180</v>
      </c>
      <c r="B66" t="s">
        <v>23</v>
      </c>
      <c r="C66" t="s">
        <v>13</v>
      </c>
      <c r="D66" t="s">
        <v>28</v>
      </c>
      <c r="E66">
        <v>158.5</v>
      </c>
      <c r="F66">
        <v>300</v>
      </c>
      <c r="G66">
        <v>300</v>
      </c>
      <c r="J66" t="s">
        <v>30</v>
      </c>
      <c r="K66" t="s">
        <v>31</v>
      </c>
      <c r="L66" t="s">
        <v>32</v>
      </c>
      <c r="M66" t="s">
        <v>18</v>
      </c>
      <c r="N66">
        <v>10</v>
      </c>
      <c r="P66">
        <v>1000</v>
      </c>
      <c r="Q66">
        <v>1500</v>
      </c>
      <c r="R66" t="s">
        <v>20</v>
      </c>
      <c r="S66" t="s">
        <v>14</v>
      </c>
      <c r="T66">
        <v>172.5</v>
      </c>
      <c r="U66" t="str">
        <f>_xlfn.IFNA(_xlfn.IFS(E66&gt;Dash!$D$46, "Big", E66&lt;Dash!$D$49, "Small", E66&gt;Dash!$D$47, "Good"), "Norm")</f>
        <v>Norm</v>
      </c>
      <c r="V66" t="s">
        <v>41</v>
      </c>
      <c r="W66">
        <v>149.75</v>
      </c>
      <c r="X66">
        <v>1</v>
      </c>
    </row>
    <row r="67" spans="1:24" x14ac:dyDescent="0.25">
      <c r="A67" s="1">
        <v>45183</v>
      </c>
      <c r="B67" t="s">
        <v>36</v>
      </c>
      <c r="C67" t="s">
        <v>33</v>
      </c>
      <c r="D67" t="s">
        <v>28</v>
      </c>
      <c r="E67">
        <v>180.5</v>
      </c>
      <c r="F67">
        <v>2300</v>
      </c>
      <c r="G67">
        <v>0</v>
      </c>
      <c r="J67" t="s">
        <v>29</v>
      </c>
      <c r="K67" t="s">
        <v>25</v>
      </c>
      <c r="L67" t="s">
        <v>32</v>
      </c>
      <c r="M67" t="s">
        <v>18</v>
      </c>
      <c r="N67">
        <v>10</v>
      </c>
      <c r="P67">
        <v>1400</v>
      </c>
      <c r="Q67">
        <v>1500</v>
      </c>
      <c r="R67" t="s">
        <v>13</v>
      </c>
      <c r="S67" t="s">
        <v>43</v>
      </c>
      <c r="T67">
        <v>121.5</v>
      </c>
      <c r="U67" t="str">
        <f>_xlfn.IFNA(_xlfn.IFS(E67&gt;Dash!$D$46, "Big", E67&lt;Dash!$D$49, "Small", E67&gt;Dash!$D$47, "Good"), "Norm")</f>
        <v>Norm</v>
      </c>
      <c r="V67" t="s">
        <v>33</v>
      </c>
      <c r="W67">
        <v>211.5</v>
      </c>
      <c r="X67" t="s">
        <v>46</v>
      </c>
    </row>
    <row r="68" spans="1:24" x14ac:dyDescent="0.25">
      <c r="A68" s="1">
        <v>45197</v>
      </c>
      <c r="B68" t="s">
        <v>36</v>
      </c>
      <c r="C68" t="s">
        <v>33</v>
      </c>
      <c r="D68" t="s">
        <v>28</v>
      </c>
      <c r="E68">
        <v>289.5</v>
      </c>
      <c r="F68">
        <v>1100</v>
      </c>
      <c r="J68" t="s">
        <v>27</v>
      </c>
      <c r="K68" t="s">
        <v>25</v>
      </c>
      <c r="L68" t="s">
        <v>35</v>
      </c>
      <c r="M68" t="s">
        <v>19</v>
      </c>
      <c r="N68">
        <v>6</v>
      </c>
      <c r="P68">
        <v>1400</v>
      </c>
      <c r="Q68">
        <v>1500</v>
      </c>
      <c r="R68" t="s">
        <v>33</v>
      </c>
      <c r="S68" t="s">
        <v>43</v>
      </c>
      <c r="T68">
        <v>249.75</v>
      </c>
      <c r="U68" t="str">
        <f>_xlfn.IFNA(_xlfn.IFS(E68&gt;Dash!$D$46, "Big", E68&lt;Dash!$D$49, "Small", E68&gt;Dash!$D$47, "Good"), "Norm")</f>
        <v>Good</v>
      </c>
      <c r="V68" t="s">
        <v>33</v>
      </c>
      <c r="W68">
        <v>235.5</v>
      </c>
      <c r="X68" t="s">
        <v>46</v>
      </c>
    </row>
    <row r="69" spans="1:24" x14ac:dyDescent="0.25">
      <c r="A69" s="1">
        <v>45208</v>
      </c>
      <c r="B69" t="s">
        <v>23</v>
      </c>
      <c r="C69" t="s">
        <v>33</v>
      </c>
      <c r="D69" t="s">
        <v>28</v>
      </c>
      <c r="E69">
        <v>263.25</v>
      </c>
      <c r="F69">
        <v>1300</v>
      </c>
      <c r="J69" t="s">
        <v>49</v>
      </c>
      <c r="K69" t="s">
        <v>25</v>
      </c>
      <c r="L69" t="s">
        <v>32</v>
      </c>
      <c r="M69" t="s">
        <v>18</v>
      </c>
      <c r="N69">
        <v>8</v>
      </c>
      <c r="P69">
        <v>1100</v>
      </c>
      <c r="Q69">
        <v>1400</v>
      </c>
      <c r="R69" t="s">
        <v>20</v>
      </c>
      <c r="S69" t="s">
        <v>28</v>
      </c>
      <c r="T69">
        <v>210</v>
      </c>
      <c r="U69" t="str">
        <f>_xlfn.IFNA(_xlfn.IFS(E69&gt;Dash!$D$46, "Big", E69&lt;Dash!$D$49, "Small", E69&gt;Dash!$D$47, "Good"), "Norm")</f>
        <v>Good</v>
      </c>
      <c r="V69" t="s">
        <v>33</v>
      </c>
      <c r="W69">
        <v>500.25</v>
      </c>
      <c r="X69" t="s">
        <v>38</v>
      </c>
    </row>
    <row r="70" spans="1:24" x14ac:dyDescent="0.25">
      <c r="A70" s="1">
        <v>45209</v>
      </c>
      <c r="B70" t="s">
        <v>19</v>
      </c>
      <c r="C70" t="s">
        <v>20</v>
      </c>
      <c r="D70" t="s">
        <v>28</v>
      </c>
      <c r="E70">
        <v>210</v>
      </c>
      <c r="F70">
        <v>2000</v>
      </c>
      <c r="G70">
        <v>2200</v>
      </c>
      <c r="J70" t="s">
        <v>29</v>
      </c>
      <c r="K70" t="s">
        <v>39</v>
      </c>
      <c r="L70" t="s">
        <v>35</v>
      </c>
      <c r="M70" t="s">
        <v>18</v>
      </c>
      <c r="N70">
        <v>8</v>
      </c>
      <c r="P70">
        <v>1100</v>
      </c>
      <c r="Q70">
        <v>1300</v>
      </c>
      <c r="R70" t="s">
        <v>33</v>
      </c>
      <c r="S70" t="s">
        <v>28</v>
      </c>
      <c r="T70">
        <v>134.25</v>
      </c>
      <c r="U70" t="str">
        <f>_xlfn.IFNA(_xlfn.IFS(E70&gt;Dash!$D$46, "Big", E70&lt;Dash!$D$49, "Small", E70&gt;Dash!$D$47, "Good"), "Norm")</f>
        <v>Norm</v>
      </c>
      <c r="V70" t="s">
        <v>33</v>
      </c>
      <c r="W70">
        <v>263.25</v>
      </c>
      <c r="X70" t="s">
        <v>28</v>
      </c>
    </row>
    <row r="71" spans="1:24" x14ac:dyDescent="0.25">
      <c r="A71" s="1">
        <v>45210</v>
      </c>
      <c r="B71" t="s">
        <v>18</v>
      </c>
      <c r="C71" t="s">
        <v>33</v>
      </c>
      <c r="D71" t="s">
        <v>28</v>
      </c>
      <c r="E71">
        <v>134.25</v>
      </c>
      <c r="F71">
        <v>900</v>
      </c>
      <c r="G71">
        <v>900</v>
      </c>
      <c r="J71" t="s">
        <v>27</v>
      </c>
      <c r="K71" t="s">
        <v>35</v>
      </c>
      <c r="L71" t="s">
        <v>17</v>
      </c>
      <c r="M71" t="s">
        <v>18</v>
      </c>
      <c r="N71">
        <v>8</v>
      </c>
      <c r="P71">
        <v>1300</v>
      </c>
      <c r="Q71">
        <v>1600</v>
      </c>
      <c r="R71" t="s">
        <v>33</v>
      </c>
      <c r="S71" t="s">
        <v>43</v>
      </c>
      <c r="T71">
        <v>252.5</v>
      </c>
      <c r="U71" t="str">
        <f>_xlfn.IFNA(_xlfn.IFS(E71&gt;Dash!$D$46, "Big", E71&lt;Dash!$D$49, "Small", E71&gt;Dash!$D$47, "Good"), "Norm")</f>
        <v>Small</v>
      </c>
      <c r="V71" t="s">
        <v>20</v>
      </c>
      <c r="W71">
        <v>210</v>
      </c>
      <c r="X71" t="s">
        <v>28</v>
      </c>
    </row>
    <row r="72" spans="1:24" x14ac:dyDescent="0.25">
      <c r="A72" s="1">
        <v>45223</v>
      </c>
      <c r="B72" t="s">
        <v>19</v>
      </c>
      <c r="C72" t="s">
        <v>33</v>
      </c>
      <c r="D72" t="s">
        <v>28</v>
      </c>
      <c r="E72">
        <v>172</v>
      </c>
      <c r="F72">
        <v>1000</v>
      </c>
      <c r="G72">
        <v>1000</v>
      </c>
      <c r="J72" t="s">
        <v>27</v>
      </c>
      <c r="K72" t="s">
        <v>35</v>
      </c>
      <c r="L72" t="s">
        <v>17</v>
      </c>
      <c r="M72" t="s">
        <v>23</v>
      </c>
      <c r="N72">
        <v>7</v>
      </c>
      <c r="O72" t="s">
        <v>64</v>
      </c>
      <c r="P72">
        <v>1200</v>
      </c>
      <c r="Q72">
        <v>1600</v>
      </c>
      <c r="R72" t="s">
        <v>13</v>
      </c>
      <c r="S72" t="s">
        <v>14</v>
      </c>
      <c r="T72">
        <v>339</v>
      </c>
      <c r="U72" t="str">
        <f>_xlfn.IFNA(_xlfn.IFS(E72&gt;Dash!$D$46, "Big", E72&lt;Dash!$D$49, "Small", E72&gt;Dash!$D$47, "Good"), "Norm")</f>
        <v>Norm</v>
      </c>
      <c r="V72" t="s">
        <v>33</v>
      </c>
      <c r="W72">
        <v>339.5</v>
      </c>
      <c r="X72" t="s">
        <v>46</v>
      </c>
    </row>
    <row r="73" spans="1:24" x14ac:dyDescent="0.25">
      <c r="A73" s="1">
        <v>45229</v>
      </c>
      <c r="B73" t="s">
        <v>23</v>
      </c>
      <c r="C73" t="s">
        <v>24</v>
      </c>
      <c r="D73" t="s">
        <v>28</v>
      </c>
      <c r="E73">
        <v>170.25</v>
      </c>
      <c r="F73">
        <v>900</v>
      </c>
      <c r="G73">
        <v>1000</v>
      </c>
      <c r="J73" t="s">
        <v>27</v>
      </c>
      <c r="K73" t="s">
        <v>31</v>
      </c>
      <c r="L73" t="s">
        <v>35</v>
      </c>
      <c r="M73" t="s">
        <v>19</v>
      </c>
      <c r="N73">
        <v>13</v>
      </c>
      <c r="P73">
        <v>1200</v>
      </c>
      <c r="Q73">
        <v>1500</v>
      </c>
      <c r="R73" t="s">
        <v>33</v>
      </c>
      <c r="S73" t="s">
        <v>28</v>
      </c>
      <c r="T73">
        <v>192.5</v>
      </c>
      <c r="U73" t="str">
        <f>_xlfn.IFNA(_xlfn.IFS(E73&gt;Dash!$D$46, "Big", E73&lt;Dash!$D$49, "Small", E73&gt;Dash!$D$47, "Good"), "Norm")</f>
        <v>Norm</v>
      </c>
      <c r="V73" t="s">
        <v>33</v>
      </c>
      <c r="W73">
        <v>198</v>
      </c>
      <c r="X73">
        <v>1</v>
      </c>
    </row>
    <row r="74" spans="1:24" x14ac:dyDescent="0.25">
      <c r="A74" s="1">
        <v>45230</v>
      </c>
      <c r="B74" t="s">
        <v>19</v>
      </c>
      <c r="C74" t="s">
        <v>33</v>
      </c>
      <c r="D74" t="s">
        <v>28</v>
      </c>
      <c r="E74">
        <v>192.5</v>
      </c>
      <c r="F74">
        <v>1300</v>
      </c>
      <c r="G74">
        <v>1600</v>
      </c>
      <c r="J74" t="s">
        <v>49</v>
      </c>
      <c r="K74" t="s">
        <v>25</v>
      </c>
      <c r="L74" t="s">
        <v>32</v>
      </c>
      <c r="M74" t="s">
        <v>19</v>
      </c>
      <c r="N74">
        <v>13</v>
      </c>
      <c r="P74">
        <v>900</v>
      </c>
      <c r="Q74">
        <v>1500</v>
      </c>
      <c r="R74" t="s">
        <v>20</v>
      </c>
      <c r="S74" t="s">
        <v>28</v>
      </c>
      <c r="T74">
        <v>344.75</v>
      </c>
      <c r="U74" t="str">
        <f>_xlfn.IFNA(_xlfn.IFS(E74&gt;Dash!$D$46, "Big", E74&lt;Dash!$D$49, "Small", E74&gt;Dash!$D$47, "Good"), "Norm")</f>
        <v>Norm</v>
      </c>
      <c r="V74" t="s">
        <v>24</v>
      </c>
      <c r="W74">
        <v>170.25</v>
      </c>
      <c r="X74" t="s">
        <v>28</v>
      </c>
    </row>
    <row r="75" spans="1:24" x14ac:dyDescent="0.25">
      <c r="A75" s="1">
        <v>45231</v>
      </c>
      <c r="B75" t="s">
        <v>18</v>
      </c>
      <c r="C75" t="s">
        <v>20</v>
      </c>
      <c r="D75" t="s">
        <v>28</v>
      </c>
      <c r="E75">
        <v>344.75</v>
      </c>
      <c r="F75">
        <v>800</v>
      </c>
      <c r="G75">
        <v>800</v>
      </c>
      <c r="J75" t="s">
        <v>27</v>
      </c>
      <c r="K75" t="s">
        <v>39</v>
      </c>
      <c r="L75" t="s">
        <v>32</v>
      </c>
      <c r="M75" t="s">
        <v>19</v>
      </c>
      <c r="N75">
        <v>13</v>
      </c>
      <c r="P75">
        <v>1400</v>
      </c>
      <c r="Q75">
        <v>1500</v>
      </c>
      <c r="R75" t="s">
        <v>13</v>
      </c>
      <c r="S75" t="s">
        <v>28</v>
      </c>
      <c r="T75">
        <v>139</v>
      </c>
      <c r="U75" t="str">
        <f>_xlfn.IFNA(_xlfn.IFS(E75&gt;Dash!$D$46, "Big", E75&lt;Dash!$D$49, "Small", E75&gt;Dash!$D$47, "Good"), "Norm")</f>
        <v>Good</v>
      </c>
      <c r="V75" t="s">
        <v>33</v>
      </c>
      <c r="W75">
        <v>192.5</v>
      </c>
      <c r="X75" t="s">
        <v>28</v>
      </c>
    </row>
    <row r="76" spans="1:24" x14ac:dyDescent="0.25">
      <c r="A76" s="1">
        <v>45232</v>
      </c>
      <c r="B76" t="s">
        <v>36</v>
      </c>
      <c r="C76" t="s">
        <v>13</v>
      </c>
      <c r="D76" t="s">
        <v>28</v>
      </c>
      <c r="E76">
        <v>139</v>
      </c>
      <c r="F76">
        <v>800</v>
      </c>
      <c r="G76">
        <v>800</v>
      </c>
      <c r="J76" t="s">
        <v>29</v>
      </c>
      <c r="K76" t="s">
        <v>31</v>
      </c>
      <c r="L76" t="s">
        <v>32</v>
      </c>
      <c r="M76" t="s">
        <v>19</v>
      </c>
      <c r="N76">
        <v>13</v>
      </c>
      <c r="O76" t="s">
        <v>70</v>
      </c>
      <c r="P76">
        <v>1200</v>
      </c>
      <c r="Q76">
        <v>1600</v>
      </c>
      <c r="R76" t="s">
        <v>13</v>
      </c>
      <c r="S76" t="s">
        <v>28</v>
      </c>
      <c r="T76">
        <v>288.5</v>
      </c>
      <c r="U76" t="str">
        <f>_xlfn.IFNA(_xlfn.IFS(E76&gt;Dash!$D$46, "Big", E76&lt;Dash!$D$49, "Small", E76&gt;Dash!$D$47, "Good"), "Norm")</f>
        <v>Small</v>
      </c>
      <c r="V76" t="s">
        <v>20</v>
      </c>
      <c r="W76">
        <v>344.75</v>
      </c>
      <c r="X76" t="s">
        <v>28</v>
      </c>
    </row>
    <row r="77" spans="1:24" x14ac:dyDescent="0.25">
      <c r="A77" s="1">
        <v>45233</v>
      </c>
      <c r="B77" t="s">
        <v>26</v>
      </c>
      <c r="C77" t="s">
        <v>13</v>
      </c>
      <c r="D77" t="s">
        <v>28</v>
      </c>
      <c r="E77">
        <v>288.5</v>
      </c>
      <c r="F77">
        <v>800</v>
      </c>
      <c r="J77" t="s">
        <v>27</v>
      </c>
      <c r="K77" t="s">
        <v>31</v>
      </c>
      <c r="L77" t="s">
        <v>32</v>
      </c>
      <c r="M77" t="s">
        <v>19</v>
      </c>
      <c r="N77">
        <v>13</v>
      </c>
      <c r="P77">
        <v>700</v>
      </c>
      <c r="Q77">
        <v>1500</v>
      </c>
      <c r="R77" t="s">
        <v>33</v>
      </c>
      <c r="S77" t="s">
        <v>43</v>
      </c>
      <c r="T77">
        <v>119.5</v>
      </c>
      <c r="U77" t="str">
        <f>_xlfn.IFNA(_xlfn.IFS(E77&gt;Dash!$D$46, "Big", E77&lt;Dash!$D$49, "Small", E77&gt;Dash!$D$47, "Good"), "Norm")</f>
        <v>Good</v>
      </c>
      <c r="V77" t="s">
        <v>13</v>
      </c>
      <c r="W77">
        <v>139</v>
      </c>
      <c r="X77" t="s">
        <v>28</v>
      </c>
    </row>
    <row r="78" spans="1:24" x14ac:dyDescent="0.25">
      <c r="A78" s="1">
        <v>45237</v>
      </c>
      <c r="B78" t="s">
        <v>19</v>
      </c>
      <c r="C78" t="s">
        <v>20</v>
      </c>
      <c r="D78" t="s">
        <v>28</v>
      </c>
      <c r="E78">
        <v>192.75</v>
      </c>
      <c r="F78">
        <v>900</v>
      </c>
      <c r="J78" t="s">
        <v>27</v>
      </c>
      <c r="K78" t="s">
        <v>39</v>
      </c>
      <c r="L78" t="s">
        <v>32</v>
      </c>
      <c r="M78" t="s">
        <v>19</v>
      </c>
      <c r="N78">
        <v>5</v>
      </c>
      <c r="P78">
        <v>1200</v>
      </c>
      <c r="Q78">
        <v>1500</v>
      </c>
      <c r="R78" t="s">
        <v>33</v>
      </c>
      <c r="S78" t="s">
        <v>43</v>
      </c>
      <c r="T78">
        <v>130.75</v>
      </c>
      <c r="U78" t="str">
        <f>_xlfn.IFNA(_xlfn.IFS(E78&gt;Dash!$D$46, "Big", E78&lt;Dash!$D$49, "Small", E78&gt;Dash!$D$47, "Good"), "Norm")</f>
        <v>Norm</v>
      </c>
      <c r="V78" t="s">
        <v>33</v>
      </c>
      <c r="W78">
        <v>119.5</v>
      </c>
      <c r="X78" t="s">
        <v>43</v>
      </c>
    </row>
    <row r="79" spans="1:24" x14ac:dyDescent="0.25">
      <c r="A79" s="1">
        <v>45244</v>
      </c>
      <c r="B79" t="s">
        <v>19</v>
      </c>
      <c r="C79" t="s">
        <v>13</v>
      </c>
      <c r="D79" t="s">
        <v>28</v>
      </c>
      <c r="E79">
        <v>366.75</v>
      </c>
      <c r="F79">
        <v>800</v>
      </c>
      <c r="J79" t="s">
        <v>30</v>
      </c>
      <c r="K79" t="s">
        <v>31</v>
      </c>
      <c r="L79" t="s">
        <v>32</v>
      </c>
      <c r="M79" t="s">
        <v>19</v>
      </c>
      <c r="N79">
        <v>9</v>
      </c>
      <c r="P79">
        <v>1400</v>
      </c>
      <c r="Q79">
        <v>1500</v>
      </c>
      <c r="R79" t="s">
        <v>33</v>
      </c>
      <c r="S79" t="s">
        <v>43</v>
      </c>
      <c r="T79">
        <v>217</v>
      </c>
      <c r="U79" t="str">
        <f>_xlfn.IFNA(_xlfn.IFS(E79&gt;Dash!$D$46, "Big", E79&lt;Dash!$D$49, "Small", E79&gt;Dash!$D$47, "Good"), "Norm")</f>
        <v>Good</v>
      </c>
      <c r="V79" t="s">
        <v>24</v>
      </c>
      <c r="W79">
        <v>124.25</v>
      </c>
      <c r="X79">
        <v>1</v>
      </c>
    </row>
    <row r="80" spans="1:24" x14ac:dyDescent="0.25">
      <c r="A80" s="1">
        <v>45250</v>
      </c>
      <c r="B80" t="s">
        <v>23</v>
      </c>
      <c r="C80" t="s">
        <v>13</v>
      </c>
      <c r="D80" t="s">
        <v>28</v>
      </c>
      <c r="E80">
        <v>229.5</v>
      </c>
      <c r="F80">
        <v>900</v>
      </c>
      <c r="J80" t="s">
        <v>27</v>
      </c>
      <c r="K80" t="s">
        <v>31</v>
      </c>
      <c r="L80" t="s">
        <v>32</v>
      </c>
      <c r="M80" t="s">
        <v>19</v>
      </c>
      <c r="N80">
        <v>5</v>
      </c>
      <c r="P80">
        <v>800</v>
      </c>
      <c r="Q80">
        <v>1500</v>
      </c>
      <c r="R80">
        <v>0</v>
      </c>
      <c r="S80" t="s">
        <v>14</v>
      </c>
      <c r="T80">
        <v>126.5</v>
      </c>
      <c r="U80" t="str">
        <f>_xlfn.IFNA(_xlfn.IFS(E80&gt;Dash!$D$46, "Big", E80&lt;Dash!$D$49, "Small", E80&gt;Dash!$D$47, "Good"), "Norm")</f>
        <v>Norm</v>
      </c>
      <c r="V80" t="s">
        <v>33</v>
      </c>
      <c r="W80">
        <v>115</v>
      </c>
      <c r="X80" t="s">
        <v>43</v>
      </c>
    </row>
    <row r="81" spans="1:24" x14ac:dyDescent="0.25">
      <c r="A81" s="1">
        <v>45252</v>
      </c>
      <c r="B81" t="s">
        <v>18</v>
      </c>
      <c r="C81" t="s">
        <v>41</v>
      </c>
      <c r="D81" t="s">
        <v>28</v>
      </c>
      <c r="E81">
        <v>168</v>
      </c>
      <c r="F81">
        <v>900</v>
      </c>
      <c r="G81">
        <v>900</v>
      </c>
      <c r="J81" t="s">
        <v>27</v>
      </c>
      <c r="K81" t="s">
        <v>39</v>
      </c>
      <c r="L81" t="s">
        <v>35</v>
      </c>
      <c r="M81" t="s">
        <v>19</v>
      </c>
      <c r="N81">
        <v>5</v>
      </c>
      <c r="P81">
        <v>1300</v>
      </c>
      <c r="Q81">
        <v>1400</v>
      </c>
      <c r="R81" t="s">
        <v>24</v>
      </c>
      <c r="S81">
        <v>1</v>
      </c>
      <c r="T81">
        <v>87.5</v>
      </c>
      <c r="U81" t="str">
        <f>_xlfn.IFNA(_xlfn.IFS(E81&gt;Dash!$D$46, "Big", E81&lt;Dash!$D$49, "Small", E81&gt;Dash!$D$47, "Good"), "Norm")</f>
        <v>Norm</v>
      </c>
      <c r="V81">
        <v>0</v>
      </c>
      <c r="W81">
        <v>126.5</v>
      </c>
      <c r="X81" t="s">
        <v>14</v>
      </c>
    </row>
    <row r="82" spans="1:24" x14ac:dyDescent="0.25">
      <c r="A82" s="1">
        <v>45268</v>
      </c>
      <c r="B82" t="s">
        <v>26</v>
      </c>
      <c r="C82" t="s">
        <v>33</v>
      </c>
      <c r="D82" t="s">
        <v>28</v>
      </c>
      <c r="E82">
        <v>230.5</v>
      </c>
      <c r="F82">
        <v>1000</v>
      </c>
      <c r="J82" t="s">
        <v>27</v>
      </c>
      <c r="K82" t="s">
        <v>25</v>
      </c>
      <c r="L82" t="s">
        <v>32</v>
      </c>
      <c r="M82" t="s">
        <v>19</v>
      </c>
      <c r="N82">
        <v>8</v>
      </c>
      <c r="P82">
        <v>1200</v>
      </c>
      <c r="Q82">
        <v>1400</v>
      </c>
      <c r="R82" t="s">
        <v>13</v>
      </c>
      <c r="S82" t="s">
        <v>28</v>
      </c>
      <c r="T82">
        <v>401.25</v>
      </c>
      <c r="U82" t="str">
        <f>_xlfn.IFNA(_xlfn.IFS(E82&gt;Dash!$D$46, "Big", E82&lt;Dash!$D$49, "Small", E82&gt;Dash!$D$47, "Good"), "Norm")</f>
        <v>Norm</v>
      </c>
      <c r="V82" t="s">
        <v>20</v>
      </c>
      <c r="W82">
        <v>221.5</v>
      </c>
      <c r="X82" t="s">
        <v>38</v>
      </c>
    </row>
    <row r="83" spans="1:24" x14ac:dyDescent="0.25">
      <c r="A83" s="1">
        <v>45271</v>
      </c>
      <c r="B83" t="s">
        <v>23</v>
      </c>
      <c r="C83" t="s">
        <v>13</v>
      </c>
      <c r="D83" t="s">
        <v>28</v>
      </c>
      <c r="E83">
        <v>401.25</v>
      </c>
      <c r="F83">
        <v>900</v>
      </c>
      <c r="J83" t="s">
        <v>27</v>
      </c>
      <c r="K83" t="s">
        <v>31</v>
      </c>
      <c r="L83" t="s">
        <v>32</v>
      </c>
      <c r="M83" t="s">
        <v>19</v>
      </c>
      <c r="N83">
        <v>15</v>
      </c>
      <c r="P83">
        <v>1400</v>
      </c>
      <c r="Q83">
        <v>1500</v>
      </c>
      <c r="R83">
        <v>0</v>
      </c>
      <c r="S83" t="s">
        <v>28</v>
      </c>
      <c r="T83">
        <v>183.25</v>
      </c>
      <c r="U83" t="str">
        <f>_xlfn.IFNA(_xlfn.IFS(E83&gt;Dash!$D$46, "Big", E83&lt;Dash!$D$49, "Small", E83&gt;Dash!$D$47, "Good"), "Norm")</f>
        <v>Good</v>
      </c>
      <c r="V83" t="s">
        <v>33</v>
      </c>
      <c r="W83">
        <v>230.5</v>
      </c>
      <c r="X83" t="s">
        <v>28</v>
      </c>
    </row>
    <row r="84" spans="1:24" x14ac:dyDescent="0.25">
      <c r="A84" s="1">
        <v>45272</v>
      </c>
      <c r="B84" t="s">
        <v>19</v>
      </c>
      <c r="D84" t="s">
        <v>28</v>
      </c>
      <c r="E84">
        <v>183.25</v>
      </c>
      <c r="F84">
        <v>1900</v>
      </c>
      <c r="G84">
        <v>800</v>
      </c>
      <c r="J84" t="s">
        <v>29</v>
      </c>
      <c r="K84" t="s">
        <v>25</v>
      </c>
      <c r="L84" t="s">
        <v>44</v>
      </c>
      <c r="M84" t="s">
        <v>19</v>
      </c>
      <c r="N84">
        <v>15</v>
      </c>
      <c r="P84">
        <v>1200</v>
      </c>
      <c r="Q84">
        <v>1600</v>
      </c>
      <c r="R84" t="s">
        <v>33</v>
      </c>
      <c r="S84" t="s">
        <v>28</v>
      </c>
      <c r="T84">
        <v>230.5</v>
      </c>
      <c r="U84" t="str">
        <f>_xlfn.IFNA(_xlfn.IFS(E84&gt;Dash!$D$46, "Big", E84&lt;Dash!$D$49, "Small", E84&gt;Dash!$D$47, "Good"), "Norm")</f>
        <v>Norm</v>
      </c>
      <c r="V84" t="s">
        <v>13</v>
      </c>
      <c r="W84">
        <v>401.25</v>
      </c>
      <c r="X84" t="s">
        <v>28</v>
      </c>
    </row>
    <row r="85" spans="1:24" x14ac:dyDescent="0.25">
      <c r="A85" s="1">
        <v>45273</v>
      </c>
      <c r="B85" t="s">
        <v>18</v>
      </c>
      <c r="C85" t="s">
        <v>33</v>
      </c>
      <c r="D85" t="s">
        <v>28</v>
      </c>
      <c r="E85">
        <v>230.5</v>
      </c>
      <c r="F85">
        <v>1800</v>
      </c>
      <c r="G85">
        <v>100</v>
      </c>
      <c r="J85" t="s">
        <v>29</v>
      </c>
      <c r="K85" t="s">
        <v>17</v>
      </c>
      <c r="L85" t="s">
        <v>32</v>
      </c>
      <c r="M85" t="s">
        <v>19</v>
      </c>
      <c r="N85">
        <v>15</v>
      </c>
      <c r="P85">
        <v>1300</v>
      </c>
      <c r="Q85">
        <v>1500</v>
      </c>
      <c r="R85" t="s">
        <v>13</v>
      </c>
      <c r="S85" t="s">
        <v>43</v>
      </c>
      <c r="T85">
        <v>249.25</v>
      </c>
      <c r="U85" t="str">
        <f>_xlfn.IFNA(_xlfn.IFS(E85&gt;Dash!$D$46, "Big", E85&lt;Dash!$D$49, "Small", E85&gt;Dash!$D$47, "Good"), "Norm")</f>
        <v>Norm</v>
      </c>
      <c r="V85">
        <v>0</v>
      </c>
      <c r="W85">
        <v>183.25</v>
      </c>
      <c r="X85" t="s">
        <v>28</v>
      </c>
    </row>
    <row r="86" spans="1:24" x14ac:dyDescent="0.25">
      <c r="A86" s="1">
        <v>45275</v>
      </c>
      <c r="B86" t="s">
        <v>26</v>
      </c>
      <c r="C86" t="s">
        <v>24</v>
      </c>
      <c r="D86" t="s">
        <v>28</v>
      </c>
      <c r="E86">
        <v>130.5</v>
      </c>
      <c r="F86">
        <v>1100</v>
      </c>
      <c r="G86">
        <v>1100</v>
      </c>
      <c r="J86" t="s">
        <v>27</v>
      </c>
      <c r="K86" t="s">
        <v>31</v>
      </c>
      <c r="L86" t="s">
        <v>35</v>
      </c>
      <c r="M86" t="s">
        <v>19</v>
      </c>
      <c r="N86">
        <v>15</v>
      </c>
      <c r="P86">
        <v>1300</v>
      </c>
      <c r="Q86">
        <v>1500</v>
      </c>
      <c r="R86" t="s">
        <v>13</v>
      </c>
      <c r="S86" t="s">
        <v>28</v>
      </c>
      <c r="T86">
        <v>144</v>
      </c>
      <c r="U86" t="str">
        <f>_xlfn.IFNA(_xlfn.IFS(E86&gt;Dash!$D$46, "Big", E86&lt;Dash!$D$49, "Small", E86&gt;Dash!$D$47, "Good"), "Norm")</f>
        <v>Small</v>
      </c>
      <c r="V86" t="s">
        <v>13</v>
      </c>
      <c r="W86">
        <v>249.25</v>
      </c>
      <c r="X86" t="s">
        <v>43</v>
      </c>
    </row>
    <row r="87" spans="1:24" x14ac:dyDescent="0.25">
      <c r="A87" s="1">
        <v>45278</v>
      </c>
      <c r="B87" t="s">
        <v>23</v>
      </c>
      <c r="C87" t="s">
        <v>13</v>
      </c>
      <c r="D87" t="s">
        <v>28</v>
      </c>
      <c r="E87">
        <v>144</v>
      </c>
      <c r="F87">
        <v>1000</v>
      </c>
      <c r="G87">
        <v>1000</v>
      </c>
      <c r="J87" t="s">
        <v>27</v>
      </c>
      <c r="K87" t="s">
        <v>31</v>
      </c>
      <c r="L87" t="s">
        <v>32</v>
      </c>
      <c r="M87" t="s">
        <v>18</v>
      </c>
      <c r="N87">
        <v>5</v>
      </c>
      <c r="P87">
        <v>1100</v>
      </c>
      <c r="Q87">
        <v>1400</v>
      </c>
      <c r="R87" t="s">
        <v>13</v>
      </c>
      <c r="S87" t="s">
        <v>28</v>
      </c>
      <c r="T87">
        <v>83</v>
      </c>
      <c r="U87" t="str">
        <f>_xlfn.IFNA(_xlfn.IFS(E87&gt;Dash!$D$46, "Big", E87&lt;Dash!$D$49, "Small", E87&gt;Dash!$D$47, "Good"), "Norm")</f>
        <v>Small</v>
      </c>
      <c r="V87" t="s">
        <v>24</v>
      </c>
      <c r="W87">
        <v>130.5</v>
      </c>
      <c r="X87" t="s">
        <v>28</v>
      </c>
    </row>
    <row r="88" spans="1:24" x14ac:dyDescent="0.25">
      <c r="A88" s="1">
        <v>45279</v>
      </c>
      <c r="B88" t="s">
        <v>19</v>
      </c>
      <c r="C88" t="s">
        <v>13</v>
      </c>
      <c r="D88" t="s">
        <v>28</v>
      </c>
      <c r="E88">
        <v>83</v>
      </c>
      <c r="F88">
        <v>700</v>
      </c>
      <c r="G88">
        <v>700</v>
      </c>
      <c r="J88" t="s">
        <v>30</v>
      </c>
      <c r="K88" t="s">
        <v>31</v>
      </c>
      <c r="L88" t="s">
        <v>44</v>
      </c>
      <c r="M88" t="s">
        <v>18</v>
      </c>
      <c r="N88">
        <v>5</v>
      </c>
      <c r="P88">
        <v>1500</v>
      </c>
      <c r="Q88">
        <v>1500</v>
      </c>
      <c r="R88" t="s">
        <v>33</v>
      </c>
      <c r="S88" t="s">
        <v>57</v>
      </c>
      <c r="T88">
        <v>313.25</v>
      </c>
      <c r="U88" t="str">
        <f>_xlfn.IFNA(_xlfn.IFS(E88&gt;Dash!$D$46, "Big", E88&lt;Dash!$D$49, "Small", E88&gt;Dash!$D$47, "Good"), "Norm")</f>
        <v>Small</v>
      </c>
      <c r="V88" t="s">
        <v>13</v>
      </c>
      <c r="W88">
        <v>144</v>
      </c>
      <c r="X88" t="s">
        <v>28</v>
      </c>
    </row>
    <row r="89" spans="1:24" x14ac:dyDescent="0.25">
      <c r="A89" s="1">
        <v>45286</v>
      </c>
      <c r="B89" t="s">
        <v>107</v>
      </c>
      <c r="C89" t="s">
        <v>13</v>
      </c>
      <c r="D89" t="s">
        <v>28</v>
      </c>
      <c r="E89">
        <v>114.25</v>
      </c>
      <c r="F89">
        <v>900</v>
      </c>
      <c r="G89">
        <v>900</v>
      </c>
      <c r="J89" t="s">
        <v>27</v>
      </c>
      <c r="K89" t="s">
        <v>31</v>
      </c>
      <c r="L89" t="s">
        <v>32</v>
      </c>
      <c r="M89" t="s">
        <v>58</v>
      </c>
      <c r="N89">
        <v>0</v>
      </c>
      <c r="P89">
        <v>700</v>
      </c>
      <c r="Q89">
        <v>1500</v>
      </c>
      <c r="R89" t="s">
        <v>33</v>
      </c>
      <c r="S89" t="s">
        <v>28</v>
      </c>
      <c r="T89">
        <v>72.25</v>
      </c>
      <c r="U89" t="str">
        <f>_xlfn.IFNA(_xlfn.IFS(E89&gt;Dash!$D$46, "Big", E89&lt;Dash!$D$49, "Small", E89&gt;Dash!$D$47, "Good"), "Norm")</f>
        <v>Small</v>
      </c>
      <c r="V89" t="s">
        <v>24</v>
      </c>
      <c r="W89">
        <v>145.5</v>
      </c>
      <c r="X89" t="s">
        <v>43</v>
      </c>
    </row>
    <row r="90" spans="1:24" x14ac:dyDescent="0.25">
      <c r="A90" s="1">
        <v>45287</v>
      </c>
      <c r="B90" t="s">
        <v>18</v>
      </c>
      <c r="C90" t="s">
        <v>33</v>
      </c>
      <c r="D90" t="s">
        <v>28</v>
      </c>
      <c r="E90">
        <v>72.25</v>
      </c>
      <c r="F90">
        <v>900</v>
      </c>
      <c r="G90">
        <v>1000</v>
      </c>
      <c r="J90" t="s">
        <v>27</v>
      </c>
      <c r="K90" t="s">
        <v>25</v>
      </c>
      <c r="L90" t="s">
        <v>44</v>
      </c>
      <c r="M90" t="s">
        <v>58</v>
      </c>
      <c r="N90">
        <v>0</v>
      </c>
      <c r="P90">
        <v>1400</v>
      </c>
      <c r="Q90">
        <v>1600</v>
      </c>
      <c r="R90" t="s">
        <v>33</v>
      </c>
      <c r="S90" t="s">
        <v>43</v>
      </c>
      <c r="T90">
        <v>87.5</v>
      </c>
      <c r="U90" t="str">
        <f>_xlfn.IFNA(_xlfn.IFS(E90&gt;Dash!$D$46, "Big", E90&lt;Dash!$D$49, "Small", E90&gt;Dash!$D$47, "Good"), "Norm")</f>
        <v>Small</v>
      </c>
      <c r="V90" t="s">
        <v>13</v>
      </c>
      <c r="W90">
        <v>114.25</v>
      </c>
      <c r="X90" t="s">
        <v>28</v>
      </c>
    </row>
    <row r="91" spans="1:24" x14ac:dyDescent="0.25">
      <c r="A91" s="1">
        <v>45299</v>
      </c>
      <c r="B91" t="s">
        <v>23</v>
      </c>
      <c r="C91" t="s">
        <v>20</v>
      </c>
      <c r="D91" t="s">
        <v>28</v>
      </c>
      <c r="E91">
        <v>341.75</v>
      </c>
      <c r="F91">
        <v>900</v>
      </c>
      <c r="J91" t="s">
        <v>27</v>
      </c>
      <c r="K91" t="s">
        <v>39</v>
      </c>
      <c r="L91" t="s">
        <v>32</v>
      </c>
      <c r="M91" t="s">
        <v>36</v>
      </c>
      <c r="N91">
        <v>6</v>
      </c>
      <c r="R91" t="s">
        <v>33</v>
      </c>
      <c r="S91" t="s">
        <v>28</v>
      </c>
      <c r="T91">
        <v>210.75</v>
      </c>
      <c r="U91" t="str">
        <f>_xlfn.IFNA(_xlfn.IFS(E91&gt;Dash!$D$46, "Big", E91&lt;Dash!$D$49, "Small", E91&gt;Dash!$D$47, "Good"), "Norm")</f>
        <v>Good</v>
      </c>
      <c r="V91" t="s">
        <v>33</v>
      </c>
      <c r="W91">
        <v>243</v>
      </c>
      <c r="X91" t="s">
        <v>46</v>
      </c>
    </row>
    <row r="92" spans="1:24" x14ac:dyDescent="0.25">
      <c r="A92" s="1">
        <v>45300</v>
      </c>
      <c r="B92" t="s">
        <v>19</v>
      </c>
      <c r="C92" t="s">
        <v>33</v>
      </c>
      <c r="D92" t="s">
        <v>28</v>
      </c>
      <c r="E92">
        <v>210.75</v>
      </c>
      <c r="F92">
        <v>1100</v>
      </c>
      <c r="J92" t="s">
        <v>27</v>
      </c>
      <c r="K92" t="s">
        <v>25</v>
      </c>
      <c r="L92" t="s">
        <v>32</v>
      </c>
      <c r="M92" t="s">
        <v>36</v>
      </c>
      <c r="N92">
        <v>6</v>
      </c>
      <c r="R92" t="s">
        <v>33</v>
      </c>
      <c r="S92" t="s">
        <v>28</v>
      </c>
      <c r="T92">
        <v>181.5</v>
      </c>
      <c r="U92" t="str">
        <f>_xlfn.IFNA(_xlfn.IFS(E92&gt;Dash!$D$46, "Big", E92&lt;Dash!$D$49, "Small", E92&gt;Dash!$D$47, "Good"), "Norm")</f>
        <v>Norm</v>
      </c>
      <c r="V92" t="s">
        <v>20</v>
      </c>
      <c r="W92">
        <v>341.75</v>
      </c>
      <c r="X92" t="s">
        <v>28</v>
      </c>
    </row>
    <row r="93" spans="1:24" x14ac:dyDescent="0.25">
      <c r="A93" s="1">
        <v>45301</v>
      </c>
      <c r="B93" t="s">
        <v>18</v>
      </c>
      <c r="C93" t="s">
        <v>33</v>
      </c>
      <c r="D93" t="s">
        <v>28</v>
      </c>
      <c r="E93">
        <v>181.5</v>
      </c>
      <c r="F93">
        <v>1400</v>
      </c>
      <c r="J93" t="s">
        <v>30</v>
      </c>
      <c r="K93" t="s">
        <v>25</v>
      </c>
      <c r="L93" t="s">
        <v>32</v>
      </c>
      <c r="M93" t="s">
        <v>36</v>
      </c>
      <c r="N93">
        <v>6</v>
      </c>
      <c r="R93" t="s">
        <v>33</v>
      </c>
      <c r="S93" t="s">
        <v>38</v>
      </c>
      <c r="T93">
        <v>304</v>
      </c>
      <c r="U93" t="str">
        <f>_xlfn.IFNA(_xlfn.IFS(E93&gt;Dash!$D$46, "Big", E93&lt;Dash!$D$49, "Small", E93&gt;Dash!$D$47, "Good"), "Norm")</f>
        <v>Norm</v>
      </c>
      <c r="V93" t="s">
        <v>33</v>
      </c>
      <c r="W93">
        <v>210.75</v>
      </c>
      <c r="X93" t="s">
        <v>28</v>
      </c>
    </row>
    <row r="94" spans="1:24" x14ac:dyDescent="0.25">
      <c r="A94" s="1">
        <v>45309</v>
      </c>
      <c r="B94" t="s">
        <v>36</v>
      </c>
      <c r="C94" t="s">
        <v>13</v>
      </c>
      <c r="D94" t="s">
        <v>28</v>
      </c>
      <c r="E94">
        <v>183.25</v>
      </c>
      <c r="F94">
        <v>600</v>
      </c>
      <c r="J94" t="s">
        <v>30</v>
      </c>
      <c r="K94" t="s">
        <v>31</v>
      </c>
      <c r="L94" t="s">
        <v>32</v>
      </c>
      <c r="M94" t="s">
        <v>18</v>
      </c>
      <c r="N94">
        <v>5</v>
      </c>
      <c r="R94" t="s">
        <v>13</v>
      </c>
      <c r="S94" t="s">
        <v>28</v>
      </c>
      <c r="T94">
        <v>281.75</v>
      </c>
      <c r="U94" t="str">
        <f>_xlfn.IFNA(_xlfn.IFS(E94&gt;Dash!$D$46, "Big", E94&lt;Dash!$D$49, "Small", E94&gt;Dash!$D$47, "Good"), "Norm")</f>
        <v>Norm</v>
      </c>
      <c r="V94" t="s">
        <v>24</v>
      </c>
      <c r="W94">
        <v>201.25</v>
      </c>
      <c r="X94" t="s">
        <v>46</v>
      </c>
    </row>
    <row r="95" spans="1:24" x14ac:dyDescent="0.25">
      <c r="A95" s="1">
        <v>45310</v>
      </c>
      <c r="B95" t="s">
        <v>26</v>
      </c>
      <c r="C95" t="s">
        <v>13</v>
      </c>
      <c r="D95" t="s">
        <v>28</v>
      </c>
      <c r="E95">
        <v>281.75</v>
      </c>
      <c r="F95">
        <v>1800</v>
      </c>
      <c r="J95" t="s">
        <v>29</v>
      </c>
      <c r="K95" t="s">
        <v>31</v>
      </c>
      <c r="L95" t="s">
        <v>44</v>
      </c>
      <c r="M95" t="s">
        <v>18</v>
      </c>
      <c r="N95">
        <v>5</v>
      </c>
      <c r="O95" t="s">
        <v>61</v>
      </c>
      <c r="R95" t="s">
        <v>33</v>
      </c>
      <c r="S95" t="s">
        <v>43</v>
      </c>
      <c r="T95">
        <v>151</v>
      </c>
      <c r="U95" t="str">
        <f>_xlfn.IFNA(_xlfn.IFS(E95&gt;Dash!$D$46, "Big", E95&lt;Dash!$D$49, "Small", E95&gt;Dash!$D$47, "Good"), "Norm")</f>
        <v>Good</v>
      </c>
      <c r="V95" t="s">
        <v>13</v>
      </c>
      <c r="W95">
        <v>183.25</v>
      </c>
      <c r="X95" t="s">
        <v>28</v>
      </c>
    </row>
    <row r="96" spans="1:24" x14ac:dyDescent="0.25">
      <c r="A96" s="1">
        <v>45315</v>
      </c>
      <c r="B96" t="s">
        <v>18</v>
      </c>
      <c r="C96" t="s">
        <v>13</v>
      </c>
      <c r="D96" t="s">
        <v>28</v>
      </c>
      <c r="E96">
        <v>189.5</v>
      </c>
      <c r="F96">
        <v>1800</v>
      </c>
      <c r="J96" t="s">
        <v>29</v>
      </c>
      <c r="K96" t="s">
        <v>31</v>
      </c>
      <c r="L96" t="s">
        <v>32</v>
      </c>
      <c r="M96" t="s">
        <v>18</v>
      </c>
      <c r="N96">
        <v>5</v>
      </c>
      <c r="O96" t="s">
        <v>63</v>
      </c>
      <c r="R96" t="s">
        <v>33</v>
      </c>
      <c r="S96" t="s">
        <v>46</v>
      </c>
      <c r="T96">
        <v>210</v>
      </c>
      <c r="U96" t="str">
        <f>_xlfn.IFNA(_xlfn.IFS(E96&gt;Dash!$D$46, "Big", E96&lt;Dash!$D$49, "Small", E96&gt;Dash!$D$47, "Good"), "Norm")</f>
        <v>Norm</v>
      </c>
      <c r="V96" t="s">
        <v>33</v>
      </c>
      <c r="W96">
        <v>129.5</v>
      </c>
      <c r="X96" t="s">
        <v>46</v>
      </c>
    </row>
    <row r="97" spans="1:24" x14ac:dyDescent="0.25">
      <c r="A97" s="1">
        <v>45323</v>
      </c>
      <c r="B97" t="s">
        <v>36</v>
      </c>
      <c r="C97" t="s">
        <v>20</v>
      </c>
      <c r="D97" t="s">
        <v>28</v>
      </c>
      <c r="E97">
        <v>189.25</v>
      </c>
      <c r="F97">
        <v>1600</v>
      </c>
      <c r="J97" t="s">
        <v>54</v>
      </c>
      <c r="K97" t="s">
        <v>39</v>
      </c>
      <c r="L97" t="s">
        <v>44</v>
      </c>
      <c r="M97" t="s">
        <v>19</v>
      </c>
      <c r="N97">
        <v>13</v>
      </c>
      <c r="O97" t="s">
        <v>65</v>
      </c>
      <c r="R97" t="s">
        <v>33</v>
      </c>
      <c r="S97" t="s">
        <v>28</v>
      </c>
      <c r="T97">
        <v>310</v>
      </c>
      <c r="U97" t="str">
        <f>_xlfn.IFNA(_xlfn.IFS(E97&gt;Dash!$D$46, "Big", E97&lt;Dash!$D$49, "Small", E97&gt;Dash!$D$47, "Good"), "Norm")</f>
        <v>Norm</v>
      </c>
      <c r="V97">
        <v>0</v>
      </c>
      <c r="W97">
        <v>253.5</v>
      </c>
      <c r="X97" t="s">
        <v>47</v>
      </c>
    </row>
    <row r="98" spans="1:24" x14ac:dyDescent="0.25">
      <c r="A98" s="1">
        <v>45324</v>
      </c>
      <c r="B98" t="s">
        <v>26</v>
      </c>
      <c r="C98" t="s">
        <v>33</v>
      </c>
      <c r="D98" t="s">
        <v>28</v>
      </c>
      <c r="E98">
        <v>310</v>
      </c>
      <c r="F98">
        <v>1000</v>
      </c>
      <c r="J98" t="s">
        <v>27</v>
      </c>
      <c r="K98" t="s">
        <v>25</v>
      </c>
      <c r="L98" t="s">
        <v>32</v>
      </c>
      <c r="M98" t="s">
        <v>19</v>
      </c>
      <c r="N98">
        <v>13</v>
      </c>
      <c r="R98" t="s">
        <v>33</v>
      </c>
      <c r="S98">
        <v>1</v>
      </c>
      <c r="T98">
        <v>191.25</v>
      </c>
      <c r="U98" t="str">
        <f>_xlfn.IFNA(_xlfn.IFS(E98&gt;Dash!$D$46, "Big", E98&lt;Dash!$D$49, "Small", E98&gt;Dash!$D$47, "Good"), "Norm")</f>
        <v>Good</v>
      </c>
      <c r="V98" t="s">
        <v>20</v>
      </c>
      <c r="W98">
        <v>189.25</v>
      </c>
      <c r="X98" t="s">
        <v>28</v>
      </c>
    </row>
    <row r="99" spans="1:24" x14ac:dyDescent="0.25">
      <c r="A99" s="1">
        <v>45329</v>
      </c>
      <c r="B99" t="s">
        <v>18</v>
      </c>
      <c r="C99" t="s">
        <v>24</v>
      </c>
      <c r="D99" t="s">
        <v>28</v>
      </c>
      <c r="E99">
        <v>170</v>
      </c>
      <c r="F99">
        <v>900</v>
      </c>
      <c r="J99" t="s">
        <v>27</v>
      </c>
      <c r="K99" t="s">
        <v>31</v>
      </c>
      <c r="L99" t="s">
        <v>35</v>
      </c>
      <c r="M99" t="s">
        <v>23</v>
      </c>
      <c r="N99">
        <v>2</v>
      </c>
      <c r="R99" t="s">
        <v>33</v>
      </c>
      <c r="S99" t="s">
        <v>28</v>
      </c>
      <c r="T99">
        <v>104.25</v>
      </c>
      <c r="U99" t="str">
        <f>_xlfn.IFNA(_xlfn.IFS(E99&gt;Dash!$D$46, "Big", E99&lt;Dash!$D$49, "Small", E99&gt;Dash!$D$47, "Good"), "Norm")</f>
        <v>Norm</v>
      </c>
      <c r="V99" t="s">
        <v>20</v>
      </c>
      <c r="W99">
        <v>207</v>
      </c>
      <c r="X99" t="s">
        <v>43</v>
      </c>
    </row>
    <row r="100" spans="1:24" x14ac:dyDescent="0.25">
      <c r="A100" s="1">
        <v>45330</v>
      </c>
      <c r="B100" t="s">
        <v>36</v>
      </c>
      <c r="C100" t="s">
        <v>33</v>
      </c>
      <c r="D100" t="s">
        <v>28</v>
      </c>
      <c r="E100">
        <v>104.25</v>
      </c>
      <c r="F100">
        <v>1000</v>
      </c>
      <c r="J100" t="s">
        <v>27</v>
      </c>
      <c r="K100" t="s">
        <v>25</v>
      </c>
      <c r="L100" t="s">
        <v>32</v>
      </c>
      <c r="M100" t="s">
        <v>23</v>
      </c>
      <c r="N100">
        <v>2</v>
      </c>
      <c r="R100" t="s">
        <v>13</v>
      </c>
      <c r="S100" t="s">
        <v>28</v>
      </c>
      <c r="T100">
        <v>196</v>
      </c>
      <c r="U100" t="str">
        <f>_xlfn.IFNA(_xlfn.IFS(E100&gt;Dash!$D$46, "Big", E100&lt;Dash!$D$49, "Small", E100&gt;Dash!$D$47, "Good"), "Norm")</f>
        <v>Small</v>
      </c>
      <c r="V100" t="s">
        <v>24</v>
      </c>
      <c r="W100">
        <v>170</v>
      </c>
      <c r="X100" t="s">
        <v>28</v>
      </c>
    </row>
    <row r="101" spans="1:24" x14ac:dyDescent="0.25">
      <c r="A101" s="1">
        <v>45331</v>
      </c>
      <c r="B101" t="s">
        <v>26</v>
      </c>
      <c r="C101" t="s">
        <v>13</v>
      </c>
      <c r="D101" t="s">
        <v>28</v>
      </c>
      <c r="E101">
        <v>196</v>
      </c>
      <c r="F101">
        <v>300</v>
      </c>
      <c r="J101" t="s">
        <v>30</v>
      </c>
      <c r="K101" t="s">
        <v>31</v>
      </c>
      <c r="L101" t="s">
        <v>32</v>
      </c>
      <c r="M101" t="s">
        <v>23</v>
      </c>
      <c r="N101">
        <v>2</v>
      </c>
      <c r="R101" t="s">
        <v>33</v>
      </c>
      <c r="S101" t="s">
        <v>43</v>
      </c>
      <c r="T101">
        <v>185.25</v>
      </c>
      <c r="U101" t="str">
        <f>_xlfn.IFNA(_xlfn.IFS(E101&gt;Dash!$D$46, "Big", E101&lt;Dash!$D$49, "Small", E101&gt;Dash!$D$47, "Good"), "Norm")</f>
        <v>Norm</v>
      </c>
      <c r="V101" t="s">
        <v>33</v>
      </c>
      <c r="W101">
        <v>104.25</v>
      </c>
      <c r="X101" t="s">
        <v>28</v>
      </c>
    </row>
    <row r="102" spans="1:24" x14ac:dyDescent="0.25">
      <c r="A102" s="1">
        <v>45337</v>
      </c>
      <c r="B102" t="s">
        <v>36</v>
      </c>
      <c r="C102" t="s">
        <v>33</v>
      </c>
      <c r="D102" t="s">
        <v>28</v>
      </c>
      <c r="E102">
        <v>153</v>
      </c>
      <c r="F102">
        <v>100</v>
      </c>
      <c r="G102">
        <v>900</v>
      </c>
      <c r="J102" t="s">
        <v>29</v>
      </c>
      <c r="K102" t="s">
        <v>25</v>
      </c>
      <c r="L102" t="s">
        <v>44</v>
      </c>
      <c r="M102" t="s">
        <v>19</v>
      </c>
      <c r="N102">
        <v>10</v>
      </c>
      <c r="R102" t="s">
        <v>41</v>
      </c>
      <c r="S102" t="s">
        <v>48</v>
      </c>
      <c r="T102">
        <v>292.75</v>
      </c>
      <c r="U102" t="str">
        <f>_xlfn.IFNA(_xlfn.IFS(E102&gt;Dash!$D$46, "Big", E102&lt;Dash!$D$49, "Small", E102&gt;Dash!$D$47, "Good"), "Norm")</f>
        <v>Small</v>
      </c>
      <c r="V102" t="s">
        <v>13</v>
      </c>
      <c r="W102">
        <v>196.75</v>
      </c>
      <c r="X102">
        <v>1</v>
      </c>
    </row>
    <row r="103" spans="1:24" x14ac:dyDescent="0.25">
      <c r="A103" s="1">
        <v>45344</v>
      </c>
      <c r="B103" t="s">
        <v>36</v>
      </c>
      <c r="C103" t="s">
        <v>13</v>
      </c>
      <c r="D103" t="s">
        <v>28</v>
      </c>
      <c r="E103">
        <v>223</v>
      </c>
      <c r="F103">
        <v>1900</v>
      </c>
      <c r="J103" t="s">
        <v>29</v>
      </c>
      <c r="K103" t="s">
        <v>31</v>
      </c>
      <c r="L103" t="s">
        <v>32</v>
      </c>
      <c r="M103" t="s">
        <v>18</v>
      </c>
      <c r="N103">
        <v>4</v>
      </c>
      <c r="R103" t="s">
        <v>33</v>
      </c>
      <c r="S103" t="s">
        <v>43</v>
      </c>
      <c r="T103">
        <v>198.75</v>
      </c>
      <c r="U103" t="str">
        <f>_xlfn.IFNA(_xlfn.IFS(E103&gt;Dash!$D$46, "Big", E103&lt;Dash!$D$49, "Small", E103&gt;Dash!$D$47, "Good"), "Norm")</f>
        <v>Norm</v>
      </c>
      <c r="V103" t="s">
        <v>33</v>
      </c>
      <c r="W103">
        <v>169.75</v>
      </c>
      <c r="X103" t="s">
        <v>46</v>
      </c>
    </row>
    <row r="104" spans="1:24" x14ac:dyDescent="0.25">
      <c r="A104" s="1">
        <v>45352</v>
      </c>
      <c r="B104" t="s">
        <v>26</v>
      </c>
      <c r="C104" t="s">
        <v>20</v>
      </c>
      <c r="D104" t="s">
        <v>28</v>
      </c>
      <c r="E104">
        <v>302.25</v>
      </c>
      <c r="F104">
        <v>2000</v>
      </c>
      <c r="G104">
        <v>500</v>
      </c>
      <c r="J104" t="s">
        <v>29</v>
      </c>
      <c r="K104" t="s">
        <v>39</v>
      </c>
      <c r="L104" t="s">
        <v>32</v>
      </c>
      <c r="M104" t="s">
        <v>19</v>
      </c>
      <c r="N104">
        <v>7</v>
      </c>
      <c r="R104" t="s">
        <v>20</v>
      </c>
      <c r="S104" t="s">
        <v>43</v>
      </c>
      <c r="T104">
        <v>98.75</v>
      </c>
      <c r="U104" t="str">
        <f>_xlfn.IFNA(_xlfn.IFS(E104&gt;Dash!$D$46, "Big", E104&lt;Dash!$D$49, "Small", E104&gt;Dash!$D$47, "Good"), "Norm")</f>
        <v>Good</v>
      </c>
      <c r="V104" t="s">
        <v>20</v>
      </c>
      <c r="W104">
        <v>250</v>
      </c>
      <c r="X104" t="s">
        <v>38</v>
      </c>
    </row>
    <row r="105" spans="1:24" x14ac:dyDescent="0.25">
      <c r="A105" s="1">
        <v>45363</v>
      </c>
      <c r="B105" t="s">
        <v>19</v>
      </c>
      <c r="C105" t="s">
        <v>33</v>
      </c>
      <c r="D105" t="s">
        <v>28</v>
      </c>
      <c r="E105">
        <v>317</v>
      </c>
      <c r="F105">
        <v>2000</v>
      </c>
      <c r="G105">
        <v>2000</v>
      </c>
      <c r="J105" t="s">
        <v>29</v>
      </c>
      <c r="K105" t="s">
        <v>25</v>
      </c>
      <c r="L105" t="s">
        <v>32</v>
      </c>
      <c r="M105" t="s">
        <v>19</v>
      </c>
      <c r="N105">
        <v>12</v>
      </c>
      <c r="R105" t="s">
        <v>41</v>
      </c>
      <c r="S105" t="s">
        <v>43</v>
      </c>
      <c r="T105">
        <v>185.5</v>
      </c>
      <c r="U105" t="str">
        <f>_xlfn.IFNA(_xlfn.IFS(E105&gt;Dash!$D$46, "Big", E105&lt;Dash!$D$49, "Small", E105&gt;Dash!$D$47, "Good"), "Norm")</f>
        <v>Good</v>
      </c>
      <c r="V105" t="s">
        <v>41</v>
      </c>
      <c r="W105">
        <v>133.25</v>
      </c>
      <c r="X105">
        <v>1</v>
      </c>
    </row>
    <row r="106" spans="1:24" x14ac:dyDescent="0.25">
      <c r="A106" s="1">
        <v>45372</v>
      </c>
      <c r="B106" t="s">
        <v>36</v>
      </c>
      <c r="C106" t="s">
        <v>24</v>
      </c>
      <c r="D106" t="s">
        <v>28</v>
      </c>
      <c r="E106">
        <v>156.5</v>
      </c>
      <c r="F106">
        <v>1800</v>
      </c>
      <c r="J106" t="s">
        <v>29</v>
      </c>
      <c r="K106" t="s">
        <v>31</v>
      </c>
      <c r="L106" t="s">
        <v>35</v>
      </c>
      <c r="M106" t="s">
        <v>18</v>
      </c>
      <c r="N106">
        <v>8</v>
      </c>
      <c r="R106" t="s">
        <v>33</v>
      </c>
      <c r="S106" t="s">
        <v>46</v>
      </c>
      <c r="T106">
        <v>134</v>
      </c>
      <c r="U106" t="str">
        <f>_xlfn.IFNA(_xlfn.IFS(E106&gt;Dash!$D$46, "Big", E106&lt;Dash!$D$49, "Small", E106&gt;Dash!$D$47, "Good"), "Norm")</f>
        <v>Small</v>
      </c>
      <c r="V106" t="s">
        <v>13</v>
      </c>
      <c r="W106">
        <v>253</v>
      </c>
      <c r="X106" t="s">
        <v>14</v>
      </c>
    </row>
    <row r="107" spans="1:24" x14ac:dyDescent="0.25">
      <c r="A107" s="1">
        <v>45393</v>
      </c>
      <c r="B107" t="s">
        <v>36</v>
      </c>
      <c r="C107" t="s">
        <v>33</v>
      </c>
      <c r="D107" t="s">
        <v>28</v>
      </c>
      <c r="E107">
        <v>430.75</v>
      </c>
      <c r="F107">
        <v>1400</v>
      </c>
      <c r="J107" t="s">
        <v>49</v>
      </c>
      <c r="K107" t="s">
        <v>25</v>
      </c>
      <c r="L107" t="s">
        <v>32</v>
      </c>
      <c r="M107" t="s">
        <v>18</v>
      </c>
      <c r="N107">
        <v>9</v>
      </c>
      <c r="R107" t="s">
        <v>20</v>
      </c>
      <c r="S107">
        <v>1</v>
      </c>
      <c r="T107">
        <v>309</v>
      </c>
      <c r="U107" t="str">
        <f>_xlfn.IFNA(_xlfn.IFS(E107&gt;Dash!$D$46, "Big", E107&lt;Dash!$D$49, "Small", E107&gt;Dash!$D$47, "Good"), "Norm")</f>
        <v>Big</v>
      </c>
      <c r="V107" t="s">
        <v>33</v>
      </c>
      <c r="W107">
        <v>420.75</v>
      </c>
      <c r="X107" t="s">
        <v>48</v>
      </c>
    </row>
    <row r="108" spans="1:24" x14ac:dyDescent="0.25">
      <c r="A108" s="1">
        <v>45405</v>
      </c>
      <c r="B108" t="s">
        <v>19</v>
      </c>
      <c r="C108" t="s">
        <v>13</v>
      </c>
      <c r="D108" t="s">
        <v>28</v>
      </c>
      <c r="E108">
        <v>297.25</v>
      </c>
      <c r="F108">
        <v>900</v>
      </c>
      <c r="J108" t="s">
        <v>27</v>
      </c>
      <c r="K108" t="s">
        <v>31</v>
      </c>
      <c r="L108" t="s">
        <v>32</v>
      </c>
      <c r="M108" t="s">
        <v>19</v>
      </c>
      <c r="N108">
        <v>7</v>
      </c>
      <c r="O108" t="s">
        <v>63</v>
      </c>
      <c r="R108" t="s">
        <v>33</v>
      </c>
      <c r="S108" t="s">
        <v>43</v>
      </c>
      <c r="T108">
        <v>228.25</v>
      </c>
      <c r="U108" t="str">
        <f>_xlfn.IFNA(_xlfn.IFS(E108&gt;Dash!$D$46, "Big", E108&lt;Dash!$D$49, "Small", E108&gt;Dash!$D$47, "Good"), "Norm")</f>
        <v>Good</v>
      </c>
      <c r="V108" t="s">
        <v>33</v>
      </c>
      <c r="W108">
        <v>299.5</v>
      </c>
      <c r="X108">
        <v>1</v>
      </c>
    </row>
    <row r="109" spans="1:24" x14ac:dyDescent="0.25">
      <c r="A109" s="1">
        <v>45408</v>
      </c>
      <c r="B109" t="s">
        <v>26</v>
      </c>
      <c r="C109" t="s">
        <v>33</v>
      </c>
      <c r="D109" t="s">
        <v>28</v>
      </c>
      <c r="E109">
        <v>233.25</v>
      </c>
      <c r="F109">
        <v>1000</v>
      </c>
      <c r="J109" t="s">
        <v>27</v>
      </c>
      <c r="K109" t="s">
        <v>25</v>
      </c>
      <c r="L109" t="s">
        <v>32</v>
      </c>
      <c r="M109" t="s">
        <v>19</v>
      </c>
      <c r="N109">
        <v>7</v>
      </c>
      <c r="R109" t="s">
        <v>33</v>
      </c>
      <c r="S109" t="s">
        <v>28</v>
      </c>
      <c r="T109">
        <v>157.75</v>
      </c>
      <c r="U109" t="str">
        <f>_xlfn.IFNA(_xlfn.IFS(E109&gt;Dash!$D$46, "Big", E109&lt;Dash!$D$49, "Small", E109&gt;Dash!$D$47, "Good"), "Norm")</f>
        <v>Norm</v>
      </c>
      <c r="V109" t="s">
        <v>33</v>
      </c>
      <c r="W109">
        <v>296.75</v>
      </c>
      <c r="X109" t="s">
        <v>38</v>
      </c>
    </row>
    <row r="110" spans="1:24" x14ac:dyDescent="0.25">
      <c r="A110" s="1">
        <v>45411</v>
      </c>
      <c r="B110" t="s">
        <v>23</v>
      </c>
      <c r="C110" t="s">
        <v>33</v>
      </c>
      <c r="D110" t="s">
        <v>28</v>
      </c>
      <c r="E110">
        <v>157.75</v>
      </c>
      <c r="F110">
        <v>2100</v>
      </c>
      <c r="G110">
        <v>2200</v>
      </c>
      <c r="J110" t="s">
        <v>29</v>
      </c>
      <c r="K110" t="s">
        <v>35</v>
      </c>
      <c r="L110" t="s">
        <v>17</v>
      </c>
      <c r="M110" t="s">
        <v>19</v>
      </c>
      <c r="N110">
        <v>14</v>
      </c>
      <c r="R110" t="s">
        <v>13</v>
      </c>
      <c r="S110" t="s">
        <v>14</v>
      </c>
      <c r="T110">
        <v>331.75</v>
      </c>
      <c r="U110" t="str">
        <f>_xlfn.IFNA(_xlfn.IFS(E110&gt;Dash!$D$46, "Big", E110&lt;Dash!$D$49, "Small", E110&gt;Dash!$D$47, "Good"), "Norm")</f>
        <v>Norm</v>
      </c>
      <c r="V110" t="s">
        <v>33</v>
      </c>
      <c r="W110">
        <v>233.25</v>
      </c>
      <c r="X110" t="s">
        <v>28</v>
      </c>
    </row>
    <row r="111" spans="1:24" x14ac:dyDescent="0.25">
      <c r="A111" s="1">
        <v>45415</v>
      </c>
      <c r="B111" t="s">
        <v>26</v>
      </c>
      <c r="C111" t="s">
        <v>41</v>
      </c>
      <c r="D111" t="s">
        <v>28</v>
      </c>
      <c r="E111">
        <v>307</v>
      </c>
      <c r="F111">
        <v>1800</v>
      </c>
      <c r="G111">
        <v>1800</v>
      </c>
      <c r="J111" t="s">
        <v>29</v>
      </c>
      <c r="K111" t="s">
        <v>39</v>
      </c>
      <c r="L111" t="s">
        <v>35</v>
      </c>
      <c r="M111" t="s">
        <v>19</v>
      </c>
      <c r="N111">
        <v>14</v>
      </c>
      <c r="R111" t="s">
        <v>13</v>
      </c>
      <c r="S111" t="s">
        <v>28</v>
      </c>
      <c r="T111">
        <v>160.75</v>
      </c>
      <c r="U111" t="str">
        <f>_xlfn.IFNA(_xlfn.IFS(E111&gt;Dash!$D$46, "Big", E111&lt;Dash!$D$49, "Small", E111&gt;Dash!$D$47, "Good"), "Norm")</f>
        <v>Good</v>
      </c>
      <c r="V111" t="s">
        <v>33</v>
      </c>
      <c r="W111">
        <v>299.25</v>
      </c>
      <c r="X111" t="s">
        <v>46</v>
      </c>
    </row>
    <row r="112" spans="1:24" x14ac:dyDescent="0.25">
      <c r="A112" s="1">
        <v>45418</v>
      </c>
      <c r="B112" t="s">
        <v>23</v>
      </c>
      <c r="C112" t="s">
        <v>13</v>
      </c>
      <c r="D112" t="s">
        <v>28</v>
      </c>
      <c r="E112">
        <v>160.75</v>
      </c>
      <c r="F112">
        <v>1800</v>
      </c>
      <c r="G112">
        <v>1800</v>
      </c>
      <c r="J112" t="s">
        <v>29</v>
      </c>
      <c r="K112" t="s">
        <v>31</v>
      </c>
      <c r="L112" t="s">
        <v>32</v>
      </c>
      <c r="M112" t="s">
        <v>36</v>
      </c>
      <c r="N112">
        <v>3</v>
      </c>
      <c r="R112" t="s">
        <v>20</v>
      </c>
      <c r="S112" t="s">
        <v>28</v>
      </c>
      <c r="T112">
        <v>106.25</v>
      </c>
      <c r="U112" t="str">
        <f>_xlfn.IFNA(_xlfn.IFS(E112&gt;Dash!$D$46, "Big", E112&lt;Dash!$D$49, "Small", E112&gt;Dash!$D$47, "Good"), "Norm")</f>
        <v>Norm</v>
      </c>
      <c r="V112" t="s">
        <v>41</v>
      </c>
      <c r="W112">
        <v>307</v>
      </c>
      <c r="X112" t="s">
        <v>28</v>
      </c>
    </row>
    <row r="113" spans="1:24" x14ac:dyDescent="0.25">
      <c r="A113" s="1">
        <v>45419</v>
      </c>
      <c r="B113" t="s">
        <v>19</v>
      </c>
      <c r="C113" t="s">
        <v>20</v>
      </c>
      <c r="D113" t="s">
        <v>28</v>
      </c>
      <c r="E113">
        <v>106.25</v>
      </c>
      <c r="F113">
        <v>900</v>
      </c>
      <c r="G113">
        <v>900</v>
      </c>
      <c r="J113" t="s">
        <v>27</v>
      </c>
      <c r="K113" t="s">
        <v>39</v>
      </c>
      <c r="L113" t="s">
        <v>32</v>
      </c>
      <c r="M113" t="s">
        <v>36</v>
      </c>
      <c r="N113">
        <v>3</v>
      </c>
      <c r="R113" t="s">
        <v>33</v>
      </c>
      <c r="S113" t="s">
        <v>14</v>
      </c>
      <c r="T113">
        <v>169.75</v>
      </c>
      <c r="U113" t="str">
        <f>_xlfn.IFNA(_xlfn.IFS(E113&gt;Dash!$D$46, "Big", E113&lt;Dash!$D$49, "Small", E113&gt;Dash!$D$47, "Good"), "Norm")</f>
        <v>Small</v>
      </c>
      <c r="V113" t="s">
        <v>13</v>
      </c>
      <c r="W113">
        <v>160.75</v>
      </c>
      <c r="X113" t="s">
        <v>28</v>
      </c>
    </row>
    <row r="114" spans="1:24" x14ac:dyDescent="0.25">
      <c r="A114" s="1">
        <v>45422</v>
      </c>
      <c r="B114" t="s">
        <v>26</v>
      </c>
      <c r="C114" t="s">
        <v>33</v>
      </c>
      <c r="D114" t="s">
        <v>28</v>
      </c>
      <c r="E114">
        <v>159.5</v>
      </c>
      <c r="F114">
        <v>200</v>
      </c>
      <c r="G114">
        <v>1000</v>
      </c>
      <c r="J114" t="s">
        <v>29</v>
      </c>
      <c r="K114" t="s">
        <v>35</v>
      </c>
      <c r="L114" t="s">
        <v>25</v>
      </c>
      <c r="M114" t="s">
        <v>36</v>
      </c>
      <c r="N114">
        <v>3</v>
      </c>
      <c r="R114" t="s">
        <v>24</v>
      </c>
      <c r="S114">
        <v>1</v>
      </c>
      <c r="T114">
        <v>101.25</v>
      </c>
      <c r="U114" t="str">
        <f>_xlfn.IFNA(_xlfn.IFS(E114&gt;Dash!$D$46, "Big", E114&lt;Dash!$D$49, "Small", E114&gt;Dash!$D$47, "Good"), "Norm")</f>
        <v>Norm</v>
      </c>
      <c r="V114" t="s">
        <v>20</v>
      </c>
      <c r="W114">
        <v>130.5</v>
      </c>
      <c r="X114">
        <v>1</v>
      </c>
    </row>
    <row r="115" spans="1:24" x14ac:dyDescent="0.25">
      <c r="A115" s="1">
        <v>45427</v>
      </c>
      <c r="B115" t="s">
        <v>18</v>
      </c>
      <c r="C115" t="s">
        <v>20</v>
      </c>
      <c r="D115" t="s">
        <v>28</v>
      </c>
      <c r="E115">
        <v>313.5</v>
      </c>
      <c r="F115">
        <v>2200</v>
      </c>
      <c r="G115">
        <v>2200</v>
      </c>
      <c r="J115" t="s">
        <v>29</v>
      </c>
      <c r="K115" t="s">
        <v>39</v>
      </c>
      <c r="L115" t="s">
        <v>32</v>
      </c>
      <c r="M115" t="s">
        <v>19</v>
      </c>
      <c r="N115">
        <v>10</v>
      </c>
      <c r="R115" t="s">
        <v>33</v>
      </c>
      <c r="S115" t="s">
        <v>43</v>
      </c>
      <c r="T115">
        <v>117</v>
      </c>
      <c r="U115" t="str">
        <f>_xlfn.IFNA(_xlfn.IFS(E115&gt;Dash!$D$46, "Big", E115&lt;Dash!$D$49, "Small", E115&gt;Dash!$D$47, "Good"), "Norm")</f>
        <v>Good</v>
      </c>
      <c r="V115" t="s">
        <v>33</v>
      </c>
      <c r="W115">
        <v>267.5</v>
      </c>
      <c r="X115" t="s">
        <v>53</v>
      </c>
    </row>
    <row r="116" spans="1:24" x14ac:dyDescent="0.25">
      <c r="A116" s="1">
        <v>45432</v>
      </c>
      <c r="B116" t="s">
        <v>23</v>
      </c>
      <c r="C116" t="s">
        <v>33</v>
      </c>
      <c r="D116" t="s">
        <v>28</v>
      </c>
      <c r="E116">
        <v>159.25</v>
      </c>
      <c r="F116">
        <v>700</v>
      </c>
      <c r="G116">
        <v>700</v>
      </c>
      <c r="J116" t="s">
        <v>30</v>
      </c>
      <c r="K116" t="s">
        <v>25</v>
      </c>
      <c r="L116" t="s">
        <v>32</v>
      </c>
      <c r="M116" t="s">
        <v>18</v>
      </c>
      <c r="N116">
        <v>5</v>
      </c>
      <c r="R116" t="s">
        <v>33</v>
      </c>
      <c r="S116" t="s">
        <v>28</v>
      </c>
      <c r="T116">
        <v>130.75</v>
      </c>
      <c r="U116" t="str">
        <f>_xlfn.IFNA(_xlfn.IFS(E116&gt;Dash!$D$46, "Big", E116&lt;Dash!$D$49, "Small", E116&gt;Dash!$D$47, "Good"), "Norm")</f>
        <v>Norm</v>
      </c>
      <c r="V116" t="s">
        <v>33</v>
      </c>
      <c r="W116">
        <v>141.75</v>
      </c>
      <c r="X116" t="s">
        <v>14</v>
      </c>
    </row>
    <row r="117" spans="1:24" x14ac:dyDescent="0.25">
      <c r="A117" s="1">
        <v>45433</v>
      </c>
      <c r="B117" t="s">
        <v>19</v>
      </c>
      <c r="C117" t="s">
        <v>33</v>
      </c>
      <c r="D117" t="s">
        <v>28</v>
      </c>
      <c r="E117">
        <v>130.75</v>
      </c>
      <c r="F117">
        <v>1500</v>
      </c>
      <c r="J117" t="s">
        <v>49</v>
      </c>
      <c r="K117" t="s">
        <v>25</v>
      </c>
      <c r="L117" t="s">
        <v>32</v>
      </c>
      <c r="M117" t="s">
        <v>18</v>
      </c>
      <c r="N117">
        <v>5</v>
      </c>
      <c r="R117" t="s">
        <v>33</v>
      </c>
      <c r="S117" t="s">
        <v>28</v>
      </c>
      <c r="T117">
        <v>154.5</v>
      </c>
      <c r="U117" t="str">
        <f>_xlfn.IFNA(_xlfn.IFS(E117&gt;Dash!$D$46, "Big", E117&lt;Dash!$D$49, "Small", E117&gt;Dash!$D$47, "Good"), "Norm")</f>
        <v>Small</v>
      </c>
      <c r="V117" t="s">
        <v>33</v>
      </c>
      <c r="W117">
        <v>159.25</v>
      </c>
      <c r="X117" t="s">
        <v>28</v>
      </c>
    </row>
    <row r="118" spans="1:24" x14ac:dyDescent="0.25">
      <c r="A118" s="1">
        <v>45434</v>
      </c>
      <c r="B118" t="s">
        <v>18</v>
      </c>
      <c r="C118" t="s">
        <v>33</v>
      </c>
      <c r="D118" t="s">
        <v>28</v>
      </c>
      <c r="E118">
        <v>154.5</v>
      </c>
      <c r="F118">
        <v>1800</v>
      </c>
      <c r="G118">
        <v>200</v>
      </c>
      <c r="J118" t="s">
        <v>29</v>
      </c>
      <c r="K118" t="s">
        <v>17</v>
      </c>
      <c r="L118" t="s">
        <v>44</v>
      </c>
      <c r="M118" t="s">
        <v>18</v>
      </c>
      <c r="N118">
        <v>5</v>
      </c>
      <c r="O118" t="s">
        <v>66</v>
      </c>
      <c r="R118" t="s">
        <v>33</v>
      </c>
      <c r="S118" t="s">
        <v>48</v>
      </c>
      <c r="T118">
        <v>401.75</v>
      </c>
      <c r="U118" t="str">
        <f>_xlfn.IFNA(_xlfn.IFS(E118&gt;Dash!$D$46, "Big", E118&lt;Dash!$D$49, "Small", E118&gt;Dash!$D$47, "Good"), "Norm")</f>
        <v>Small</v>
      </c>
      <c r="V118" t="s">
        <v>33</v>
      </c>
      <c r="W118">
        <v>130.75</v>
      </c>
      <c r="X118" t="s">
        <v>28</v>
      </c>
    </row>
    <row r="119" spans="1:24" x14ac:dyDescent="0.25">
      <c r="A119" s="1">
        <v>45446</v>
      </c>
      <c r="B119" t="s">
        <v>23</v>
      </c>
      <c r="C119" t="s">
        <v>33</v>
      </c>
      <c r="D119" t="s">
        <v>28</v>
      </c>
      <c r="E119">
        <v>319.75</v>
      </c>
      <c r="F119">
        <v>200</v>
      </c>
      <c r="G119">
        <v>200</v>
      </c>
      <c r="J119" t="s">
        <v>30</v>
      </c>
      <c r="K119" t="s">
        <v>35</v>
      </c>
      <c r="L119" t="s">
        <v>17</v>
      </c>
      <c r="M119" t="s">
        <v>23</v>
      </c>
      <c r="N119">
        <v>9</v>
      </c>
      <c r="R119" t="s">
        <v>20</v>
      </c>
      <c r="S119">
        <v>1</v>
      </c>
      <c r="T119">
        <v>191</v>
      </c>
      <c r="U119" t="str">
        <f>_xlfn.IFNA(_xlfn.IFS(E119&gt;Dash!$D$46, "Big", E119&lt;Dash!$D$49, "Small", E119&gt;Dash!$D$47, "Good"), "Norm")</f>
        <v>Good</v>
      </c>
      <c r="V119" t="s">
        <v>33</v>
      </c>
      <c r="W119">
        <v>427</v>
      </c>
      <c r="X119" t="s">
        <v>46</v>
      </c>
    </row>
    <row r="120" spans="1:24" x14ac:dyDescent="0.25">
      <c r="A120" s="1">
        <v>45448</v>
      </c>
      <c r="B120" t="s">
        <v>18</v>
      </c>
      <c r="C120" t="s">
        <v>13</v>
      </c>
      <c r="D120" t="s">
        <v>28</v>
      </c>
      <c r="E120">
        <v>301.5</v>
      </c>
      <c r="F120">
        <v>2200</v>
      </c>
      <c r="G120">
        <v>200</v>
      </c>
      <c r="J120" t="s">
        <v>29</v>
      </c>
      <c r="K120" t="s">
        <v>31</v>
      </c>
      <c r="L120" t="s">
        <v>44</v>
      </c>
      <c r="M120" t="s">
        <v>23</v>
      </c>
      <c r="N120">
        <v>9</v>
      </c>
      <c r="R120" t="s">
        <v>33</v>
      </c>
      <c r="S120" t="s">
        <v>43</v>
      </c>
      <c r="T120">
        <v>107.25</v>
      </c>
      <c r="U120" t="str">
        <f>_xlfn.IFNA(_xlfn.IFS(E120&gt;Dash!$D$46, "Big", E120&lt;Dash!$D$49, "Small", E120&gt;Dash!$D$47, "Good"), "Norm")</f>
        <v>Good</v>
      </c>
      <c r="V120" t="s">
        <v>20</v>
      </c>
      <c r="W120">
        <v>191</v>
      </c>
      <c r="X120">
        <v>1</v>
      </c>
    </row>
    <row r="121" spans="1:24" x14ac:dyDescent="0.25">
      <c r="A121" s="1">
        <v>45454</v>
      </c>
      <c r="B121" t="s">
        <v>19</v>
      </c>
      <c r="C121" t="s">
        <v>33</v>
      </c>
      <c r="D121" t="s">
        <v>28</v>
      </c>
      <c r="E121">
        <v>253</v>
      </c>
      <c r="F121">
        <v>900</v>
      </c>
      <c r="G121">
        <v>1000</v>
      </c>
      <c r="J121" t="s">
        <v>27</v>
      </c>
      <c r="K121" t="s">
        <v>25</v>
      </c>
      <c r="L121" t="s">
        <v>44</v>
      </c>
      <c r="M121" t="s">
        <v>18</v>
      </c>
      <c r="N121">
        <v>11</v>
      </c>
      <c r="R121" t="s">
        <v>13</v>
      </c>
      <c r="S121" t="s">
        <v>28</v>
      </c>
      <c r="T121">
        <v>326</v>
      </c>
      <c r="U121" t="str">
        <f>_xlfn.IFNA(_xlfn.IFS(E121&gt;Dash!$D$46, "Big", E121&lt;Dash!$D$49, "Small", E121&gt;Dash!$D$47, "Good"), "Norm")</f>
        <v>Good</v>
      </c>
      <c r="V121" t="s">
        <v>20</v>
      </c>
      <c r="W121">
        <v>152</v>
      </c>
      <c r="X121">
        <v>1</v>
      </c>
    </row>
    <row r="122" spans="1:24" x14ac:dyDescent="0.25">
      <c r="A122" s="1">
        <v>45455</v>
      </c>
      <c r="B122" t="s">
        <v>18</v>
      </c>
      <c r="C122" t="s">
        <v>13</v>
      </c>
      <c r="D122" t="s">
        <v>28</v>
      </c>
      <c r="E122">
        <v>326</v>
      </c>
      <c r="F122">
        <v>1800</v>
      </c>
      <c r="G122">
        <v>1800</v>
      </c>
      <c r="J122" t="s">
        <v>29</v>
      </c>
      <c r="K122" t="s">
        <v>31</v>
      </c>
      <c r="L122" t="s">
        <v>44</v>
      </c>
      <c r="M122" t="s">
        <v>18</v>
      </c>
      <c r="N122">
        <v>11</v>
      </c>
      <c r="R122" t="s">
        <v>33</v>
      </c>
      <c r="S122" t="s">
        <v>43</v>
      </c>
      <c r="T122">
        <v>191</v>
      </c>
      <c r="U122" t="str">
        <f>_xlfn.IFNA(_xlfn.IFS(E122&gt;Dash!$D$46, "Big", E122&lt;Dash!$D$49, "Small", E122&gt;Dash!$D$47, "Good"), "Norm")</f>
        <v>Good</v>
      </c>
      <c r="V122" t="s">
        <v>33</v>
      </c>
      <c r="W122">
        <v>253</v>
      </c>
      <c r="X122" t="s">
        <v>28</v>
      </c>
    </row>
    <row r="123" spans="1:24" x14ac:dyDescent="0.25">
      <c r="A123" s="1">
        <v>45457</v>
      </c>
      <c r="B123" t="s">
        <v>26</v>
      </c>
      <c r="C123" t="s">
        <v>20</v>
      </c>
      <c r="D123" t="s">
        <v>28</v>
      </c>
      <c r="E123">
        <v>159.25</v>
      </c>
      <c r="F123">
        <v>1500</v>
      </c>
      <c r="J123" t="s">
        <v>49</v>
      </c>
      <c r="K123" t="s">
        <v>39</v>
      </c>
      <c r="L123" t="s">
        <v>44</v>
      </c>
      <c r="M123" t="s">
        <v>18</v>
      </c>
      <c r="N123">
        <v>11</v>
      </c>
      <c r="R123" t="s">
        <v>33</v>
      </c>
      <c r="S123" t="s">
        <v>40</v>
      </c>
      <c r="T123">
        <v>367.25</v>
      </c>
      <c r="U123" t="str">
        <f>_xlfn.IFNA(_xlfn.IFS(E123&gt;Dash!$D$46, "Big", E123&lt;Dash!$D$49, "Small", E123&gt;Dash!$D$47, "Good"), "Norm")</f>
        <v>Norm</v>
      </c>
      <c r="V123" t="s">
        <v>33</v>
      </c>
      <c r="W123">
        <v>191</v>
      </c>
      <c r="X123" t="s">
        <v>43</v>
      </c>
    </row>
    <row r="124" spans="1:24" x14ac:dyDescent="0.25">
      <c r="A124" s="1">
        <v>45475</v>
      </c>
      <c r="B124" t="s">
        <v>19</v>
      </c>
      <c r="C124" t="s">
        <v>20</v>
      </c>
      <c r="D124" t="s">
        <v>28</v>
      </c>
      <c r="E124">
        <v>332</v>
      </c>
      <c r="F124">
        <v>900</v>
      </c>
      <c r="G124">
        <v>900</v>
      </c>
      <c r="J124" t="s">
        <v>27</v>
      </c>
      <c r="K124" t="s">
        <v>39</v>
      </c>
      <c r="L124" t="s">
        <v>32</v>
      </c>
      <c r="M124" t="s">
        <v>23</v>
      </c>
      <c r="N124">
        <v>10</v>
      </c>
      <c r="R124" t="s">
        <v>33</v>
      </c>
      <c r="S124" t="s">
        <v>28</v>
      </c>
      <c r="T124">
        <v>230.25</v>
      </c>
      <c r="U124" t="str">
        <f>_xlfn.IFNA(_xlfn.IFS(E124&gt;Dash!$D$46, "Big", E124&lt;Dash!$D$49, "Small", E124&gt;Dash!$D$47, "Good"), "Norm")</f>
        <v>Good</v>
      </c>
      <c r="V124" t="s">
        <v>33</v>
      </c>
      <c r="W124">
        <v>262.25</v>
      </c>
      <c r="X124" t="s">
        <v>46</v>
      </c>
    </row>
    <row r="125" spans="1:24" x14ac:dyDescent="0.25">
      <c r="A125" s="1">
        <v>45476</v>
      </c>
      <c r="B125" t="s">
        <v>18</v>
      </c>
      <c r="C125" t="s">
        <v>33</v>
      </c>
      <c r="D125" t="s">
        <v>28</v>
      </c>
      <c r="E125">
        <v>230.25</v>
      </c>
      <c r="F125">
        <v>200</v>
      </c>
      <c r="G125">
        <v>200</v>
      </c>
      <c r="J125" t="s">
        <v>30</v>
      </c>
      <c r="K125" t="s">
        <v>25</v>
      </c>
      <c r="L125" t="s">
        <v>32</v>
      </c>
      <c r="M125" t="s">
        <v>23</v>
      </c>
      <c r="N125">
        <v>10</v>
      </c>
      <c r="R125" t="s">
        <v>13</v>
      </c>
      <c r="S125" t="s">
        <v>28</v>
      </c>
      <c r="T125">
        <v>266.5</v>
      </c>
      <c r="U125" t="str">
        <f>_xlfn.IFNA(_xlfn.IFS(E125&gt;Dash!$D$46, "Big", E125&lt;Dash!$D$49, "Small", E125&gt;Dash!$D$47, "Good"), "Norm")</f>
        <v>Norm</v>
      </c>
      <c r="V125" t="s">
        <v>20</v>
      </c>
      <c r="W125">
        <v>332</v>
      </c>
      <c r="X125" t="s">
        <v>28</v>
      </c>
    </row>
    <row r="126" spans="1:24" x14ac:dyDescent="0.25">
      <c r="A126" s="1">
        <v>45478</v>
      </c>
      <c r="B126" t="s">
        <v>108</v>
      </c>
      <c r="C126" t="s">
        <v>13</v>
      </c>
      <c r="D126" t="s">
        <v>28</v>
      </c>
      <c r="E126">
        <v>266.5</v>
      </c>
      <c r="F126">
        <v>200</v>
      </c>
      <c r="G126">
        <v>400</v>
      </c>
      <c r="J126" t="s">
        <v>30</v>
      </c>
      <c r="K126" t="s">
        <v>31</v>
      </c>
      <c r="L126" t="s">
        <v>32</v>
      </c>
      <c r="M126" t="s">
        <v>23</v>
      </c>
      <c r="N126">
        <v>10</v>
      </c>
      <c r="R126" t="s">
        <v>13</v>
      </c>
      <c r="S126" t="s">
        <v>28</v>
      </c>
      <c r="T126">
        <v>100</v>
      </c>
      <c r="U126" t="str">
        <f>_xlfn.IFNA(_xlfn.IFS(E126&gt;Dash!$D$46, "Big", E126&lt;Dash!$D$49, "Small", E126&gt;Dash!$D$47, "Good"), "Norm")</f>
        <v>Good</v>
      </c>
      <c r="V126" t="s">
        <v>33</v>
      </c>
      <c r="W126">
        <v>230.25</v>
      </c>
      <c r="X126" t="s">
        <v>28</v>
      </c>
    </row>
    <row r="127" spans="1:24" x14ac:dyDescent="0.25">
      <c r="A127" s="1">
        <v>45481</v>
      </c>
      <c r="B127" t="s">
        <v>23</v>
      </c>
      <c r="C127" t="s">
        <v>13</v>
      </c>
      <c r="D127" t="s">
        <v>28</v>
      </c>
      <c r="E127">
        <v>100</v>
      </c>
      <c r="F127">
        <v>900</v>
      </c>
      <c r="G127">
        <v>900</v>
      </c>
      <c r="J127" t="s">
        <v>27</v>
      </c>
      <c r="K127" t="s">
        <v>31</v>
      </c>
      <c r="L127" t="s">
        <v>32</v>
      </c>
      <c r="M127" t="s">
        <v>19</v>
      </c>
      <c r="N127">
        <v>9</v>
      </c>
      <c r="R127" t="s">
        <v>33</v>
      </c>
      <c r="S127" t="s">
        <v>43</v>
      </c>
      <c r="T127">
        <v>156</v>
      </c>
      <c r="U127" t="str">
        <f>_xlfn.IFNA(_xlfn.IFS(E127&gt;Dash!$D$46, "Big", E127&lt;Dash!$D$49, "Small", E127&gt;Dash!$D$47, "Good"), "Norm")</f>
        <v>Small</v>
      </c>
      <c r="V127" t="s">
        <v>13</v>
      </c>
      <c r="W127">
        <v>266.5</v>
      </c>
      <c r="X127" t="s">
        <v>28</v>
      </c>
    </row>
    <row r="128" spans="1:24" x14ac:dyDescent="0.25">
      <c r="A128" s="1">
        <v>45483</v>
      </c>
      <c r="B128" t="s">
        <v>18</v>
      </c>
      <c r="C128" t="s">
        <v>13</v>
      </c>
      <c r="D128" t="s">
        <v>28</v>
      </c>
      <c r="E128">
        <v>213.75</v>
      </c>
      <c r="F128">
        <v>900</v>
      </c>
      <c r="G128">
        <v>900</v>
      </c>
      <c r="J128" t="s">
        <v>27</v>
      </c>
      <c r="K128" t="s">
        <v>31</v>
      </c>
      <c r="L128" t="s">
        <v>32</v>
      </c>
      <c r="M128" t="s">
        <v>19</v>
      </c>
      <c r="N128">
        <v>9</v>
      </c>
      <c r="R128" t="s">
        <v>33</v>
      </c>
      <c r="S128" t="s">
        <v>48</v>
      </c>
      <c r="T128">
        <v>606.5</v>
      </c>
      <c r="U128" t="str">
        <f>_xlfn.IFNA(_xlfn.IFS(E128&gt;Dash!$D$46, "Big", E128&lt;Dash!$D$49, "Small", E128&gt;Dash!$D$47, "Good"), "Norm")</f>
        <v>Norm</v>
      </c>
      <c r="V128" t="s">
        <v>33</v>
      </c>
      <c r="W128">
        <v>156</v>
      </c>
      <c r="X128" t="s">
        <v>43</v>
      </c>
    </row>
    <row r="129" spans="1:24" x14ac:dyDescent="0.25">
      <c r="A129" s="1">
        <v>45495</v>
      </c>
      <c r="B129" t="s">
        <v>23</v>
      </c>
      <c r="C129" t="s">
        <v>13</v>
      </c>
      <c r="D129" t="s">
        <v>28</v>
      </c>
      <c r="E129">
        <v>235</v>
      </c>
      <c r="F129">
        <v>900</v>
      </c>
      <c r="G129">
        <v>900</v>
      </c>
      <c r="J129" t="s">
        <v>27</v>
      </c>
      <c r="K129" t="s">
        <v>31</v>
      </c>
      <c r="L129" t="s">
        <v>32</v>
      </c>
      <c r="M129" t="s">
        <v>18</v>
      </c>
      <c r="N129">
        <v>5</v>
      </c>
      <c r="R129" t="s">
        <v>41</v>
      </c>
      <c r="S129" t="s">
        <v>43</v>
      </c>
      <c r="T129">
        <v>180.75</v>
      </c>
      <c r="U129" t="str">
        <f>_xlfn.IFNA(_xlfn.IFS(E129&gt;Dash!$D$46, "Big", E129&lt;Dash!$D$49, "Small", E129&gt;Dash!$D$47, "Good"), "Norm")</f>
        <v>Norm</v>
      </c>
      <c r="V129" t="s">
        <v>20</v>
      </c>
      <c r="W129">
        <v>322.5</v>
      </c>
      <c r="X129" t="s">
        <v>14</v>
      </c>
    </row>
    <row r="130" spans="1:24" x14ac:dyDescent="0.25">
      <c r="A130" s="1">
        <v>45504</v>
      </c>
      <c r="B130" t="s">
        <v>18</v>
      </c>
      <c r="C130" t="s">
        <v>13</v>
      </c>
      <c r="D130" t="s">
        <v>28</v>
      </c>
      <c r="E130">
        <v>327.5</v>
      </c>
      <c r="F130">
        <v>800</v>
      </c>
      <c r="J130" t="s">
        <v>27</v>
      </c>
      <c r="K130" t="s">
        <v>31</v>
      </c>
      <c r="L130" t="s">
        <v>44</v>
      </c>
      <c r="M130" t="s">
        <v>19</v>
      </c>
      <c r="N130">
        <v>13</v>
      </c>
      <c r="O130" t="s">
        <v>68</v>
      </c>
      <c r="R130" t="s">
        <v>13</v>
      </c>
      <c r="S130" t="s">
        <v>48</v>
      </c>
      <c r="T130">
        <v>813.75</v>
      </c>
      <c r="U130" t="str">
        <f>_xlfn.IFNA(_xlfn.IFS(E130&gt;Dash!$D$46, "Big", E130&lt;Dash!$D$49, "Small", E130&gt;Dash!$D$47, "Good"), "Norm")</f>
        <v>Good</v>
      </c>
      <c r="V130" t="s">
        <v>33</v>
      </c>
      <c r="W130">
        <v>516.75</v>
      </c>
      <c r="X130" t="s">
        <v>14</v>
      </c>
    </row>
    <row r="131" spans="1:24" x14ac:dyDescent="0.25">
      <c r="A131" s="1">
        <v>45513</v>
      </c>
      <c r="B131" t="s">
        <v>26</v>
      </c>
      <c r="C131" t="s">
        <v>33</v>
      </c>
      <c r="D131" t="s">
        <v>28</v>
      </c>
      <c r="E131">
        <v>291.5</v>
      </c>
      <c r="F131">
        <v>1900</v>
      </c>
      <c r="G131">
        <v>2000</v>
      </c>
      <c r="J131" t="s">
        <v>29</v>
      </c>
      <c r="K131" t="s">
        <v>25</v>
      </c>
      <c r="L131" t="s">
        <v>32</v>
      </c>
      <c r="M131" t="s">
        <v>23</v>
      </c>
      <c r="N131">
        <v>2</v>
      </c>
      <c r="R131" t="s">
        <v>24</v>
      </c>
      <c r="S131" t="s">
        <v>28</v>
      </c>
      <c r="T131">
        <v>241.75</v>
      </c>
      <c r="U131" t="str">
        <f>_xlfn.IFNA(_xlfn.IFS(E131&gt;Dash!$D$46, "Big", E131&lt;Dash!$D$49, "Small", E131&gt;Dash!$D$47, "Good"), "Norm")</f>
        <v>Good</v>
      </c>
      <c r="V131" t="s">
        <v>13</v>
      </c>
      <c r="W131">
        <v>597.25</v>
      </c>
      <c r="X131" t="s">
        <v>38</v>
      </c>
    </row>
    <row r="132" spans="1:24" x14ac:dyDescent="0.25">
      <c r="A132" s="1">
        <v>45516</v>
      </c>
      <c r="B132" t="s">
        <v>23</v>
      </c>
      <c r="C132" t="s">
        <v>24</v>
      </c>
      <c r="D132" t="s">
        <v>28</v>
      </c>
      <c r="E132">
        <v>241.75</v>
      </c>
      <c r="F132">
        <v>300</v>
      </c>
      <c r="G132">
        <v>400</v>
      </c>
      <c r="J132" t="s">
        <v>30</v>
      </c>
      <c r="K132" t="s">
        <v>31</v>
      </c>
      <c r="L132" t="s">
        <v>35</v>
      </c>
      <c r="M132" t="s">
        <v>19</v>
      </c>
      <c r="N132">
        <v>8</v>
      </c>
      <c r="R132" t="s">
        <v>13</v>
      </c>
      <c r="S132" t="s">
        <v>28</v>
      </c>
      <c r="T132">
        <v>402.5</v>
      </c>
      <c r="U132" t="str">
        <f>_xlfn.IFNA(_xlfn.IFS(E132&gt;Dash!$D$46, "Big", E132&lt;Dash!$D$49, "Small", E132&gt;Dash!$D$47, "Good"), "Norm")</f>
        <v>Norm</v>
      </c>
      <c r="V132" t="s">
        <v>33</v>
      </c>
      <c r="W132">
        <v>291.5</v>
      </c>
      <c r="X132" t="s">
        <v>28</v>
      </c>
    </row>
    <row r="133" spans="1:24" x14ac:dyDescent="0.25">
      <c r="A133" s="1">
        <v>45517</v>
      </c>
      <c r="B133" t="s">
        <v>19</v>
      </c>
      <c r="C133" t="s">
        <v>13</v>
      </c>
      <c r="D133" t="s">
        <v>28</v>
      </c>
      <c r="E133">
        <v>402.5</v>
      </c>
      <c r="F133">
        <v>300</v>
      </c>
      <c r="G133">
        <v>400</v>
      </c>
      <c r="J133" t="s">
        <v>30</v>
      </c>
      <c r="K133" t="s">
        <v>31</v>
      </c>
      <c r="L133" t="s">
        <v>44</v>
      </c>
      <c r="M133" t="s">
        <v>19</v>
      </c>
      <c r="N133">
        <v>8</v>
      </c>
      <c r="R133" t="s">
        <v>33</v>
      </c>
      <c r="S133" t="s">
        <v>28</v>
      </c>
      <c r="T133">
        <v>278</v>
      </c>
      <c r="U133" t="str">
        <f>_xlfn.IFNA(_xlfn.IFS(E133&gt;Dash!$D$46, "Big", E133&lt;Dash!$D$49, "Small", E133&gt;Dash!$D$47, "Good"), "Norm")</f>
        <v>Big</v>
      </c>
      <c r="V133" t="s">
        <v>24</v>
      </c>
      <c r="W133">
        <v>241.75</v>
      </c>
      <c r="X133" t="s">
        <v>28</v>
      </c>
    </row>
    <row r="134" spans="1:24" x14ac:dyDescent="0.25">
      <c r="A134" s="1">
        <v>45518</v>
      </c>
      <c r="B134" t="s">
        <v>18</v>
      </c>
      <c r="C134" t="s">
        <v>33</v>
      </c>
      <c r="D134" t="s">
        <v>28</v>
      </c>
      <c r="E134">
        <v>278</v>
      </c>
      <c r="F134">
        <v>1800</v>
      </c>
      <c r="G134">
        <v>1800</v>
      </c>
      <c r="J134" t="s">
        <v>29</v>
      </c>
      <c r="K134" t="s">
        <v>25</v>
      </c>
      <c r="L134" t="s">
        <v>35</v>
      </c>
      <c r="M134" t="s">
        <v>19</v>
      </c>
      <c r="N134">
        <v>8</v>
      </c>
      <c r="R134" t="s">
        <v>13</v>
      </c>
      <c r="S134" t="s">
        <v>28</v>
      </c>
      <c r="T134">
        <v>465</v>
      </c>
      <c r="U134" t="str">
        <f>_xlfn.IFNA(_xlfn.IFS(E134&gt;Dash!$D$46, "Big", E134&lt;Dash!$D$49, "Small", E134&gt;Dash!$D$47, "Good"), "Norm")</f>
        <v>Good</v>
      </c>
      <c r="V134" t="s">
        <v>13</v>
      </c>
      <c r="W134">
        <v>402.5</v>
      </c>
      <c r="X134" t="s">
        <v>28</v>
      </c>
    </row>
    <row r="135" spans="1:24" x14ac:dyDescent="0.25">
      <c r="A135" s="1">
        <v>45519</v>
      </c>
      <c r="B135" t="s">
        <v>36</v>
      </c>
      <c r="C135" t="s">
        <v>13</v>
      </c>
      <c r="D135" t="s">
        <v>28</v>
      </c>
      <c r="E135">
        <v>465</v>
      </c>
      <c r="F135">
        <v>2200</v>
      </c>
      <c r="G135">
        <v>100</v>
      </c>
      <c r="J135" t="s">
        <v>29</v>
      </c>
      <c r="K135" t="s">
        <v>31</v>
      </c>
      <c r="L135" t="s">
        <v>32</v>
      </c>
      <c r="M135" t="s">
        <v>19</v>
      </c>
      <c r="N135">
        <v>8</v>
      </c>
      <c r="R135" t="s">
        <v>41</v>
      </c>
      <c r="S135" t="s">
        <v>28</v>
      </c>
      <c r="T135">
        <v>213.25</v>
      </c>
      <c r="U135" t="str">
        <f>_xlfn.IFNA(_xlfn.IFS(E135&gt;Dash!$D$46, "Big", E135&lt;Dash!$D$49, "Small", E135&gt;Dash!$D$47, "Good"), "Norm")</f>
        <v>Big</v>
      </c>
      <c r="V135" t="s">
        <v>33</v>
      </c>
      <c r="W135">
        <v>278</v>
      </c>
      <c r="X135" t="s">
        <v>28</v>
      </c>
    </row>
    <row r="136" spans="1:24" x14ac:dyDescent="0.25">
      <c r="A136" s="1">
        <v>45520</v>
      </c>
      <c r="B136" t="s">
        <v>26</v>
      </c>
      <c r="C136" t="s">
        <v>41</v>
      </c>
      <c r="D136" t="s">
        <v>28</v>
      </c>
      <c r="E136">
        <v>213.25</v>
      </c>
      <c r="F136">
        <v>1800</v>
      </c>
      <c r="G136">
        <v>1800</v>
      </c>
      <c r="J136" t="s">
        <v>29</v>
      </c>
      <c r="K136" t="s">
        <v>22</v>
      </c>
      <c r="L136" t="s">
        <v>25</v>
      </c>
      <c r="M136" t="s">
        <v>19</v>
      </c>
      <c r="N136">
        <v>8</v>
      </c>
      <c r="O136" t="s">
        <v>61</v>
      </c>
      <c r="R136" t="s">
        <v>20</v>
      </c>
      <c r="S136" t="s">
        <v>28</v>
      </c>
      <c r="T136">
        <v>332.25</v>
      </c>
      <c r="U136" t="str">
        <f>_xlfn.IFNA(_xlfn.IFS(E136&gt;Dash!$D$46, "Big", E136&lt;Dash!$D$49, "Small", E136&gt;Dash!$D$47, "Good"), "Norm")</f>
        <v>Norm</v>
      </c>
      <c r="V136" t="s">
        <v>13</v>
      </c>
      <c r="W136">
        <v>465</v>
      </c>
      <c r="X136" t="s">
        <v>28</v>
      </c>
    </row>
    <row r="137" spans="1:24" x14ac:dyDescent="0.25">
      <c r="A137" s="1">
        <v>45523</v>
      </c>
      <c r="B137" t="s">
        <v>23</v>
      </c>
      <c r="C137" t="s">
        <v>20</v>
      </c>
      <c r="D137" t="s">
        <v>28</v>
      </c>
      <c r="E137">
        <v>332.25</v>
      </c>
      <c r="F137">
        <v>2300</v>
      </c>
      <c r="G137">
        <v>2300</v>
      </c>
      <c r="J137" t="s">
        <v>29</v>
      </c>
      <c r="K137" t="s">
        <v>39</v>
      </c>
      <c r="L137" t="s">
        <v>44</v>
      </c>
      <c r="M137" t="s">
        <v>18</v>
      </c>
      <c r="N137">
        <v>6</v>
      </c>
      <c r="R137" t="s">
        <v>41</v>
      </c>
      <c r="S137" t="s">
        <v>43</v>
      </c>
      <c r="T137">
        <v>182</v>
      </c>
      <c r="U137" t="str">
        <f>_xlfn.IFNA(_xlfn.IFS(E137&gt;Dash!$D$46, "Big", E137&lt;Dash!$D$49, "Small", E137&gt;Dash!$D$47, "Good"), "Norm")</f>
        <v>Good</v>
      </c>
      <c r="V137" t="s">
        <v>41</v>
      </c>
      <c r="W137">
        <v>213.25</v>
      </c>
      <c r="X137" t="s">
        <v>28</v>
      </c>
    </row>
    <row r="138" spans="1:24" x14ac:dyDescent="0.25">
      <c r="A138" s="1">
        <v>45525</v>
      </c>
      <c r="B138" t="s">
        <v>18</v>
      </c>
      <c r="C138" t="s">
        <v>33</v>
      </c>
      <c r="D138" t="s">
        <v>28</v>
      </c>
      <c r="E138">
        <v>210.25</v>
      </c>
      <c r="F138">
        <v>1000</v>
      </c>
      <c r="G138">
        <v>1000</v>
      </c>
      <c r="J138" t="s">
        <v>27</v>
      </c>
      <c r="K138" t="s">
        <v>35</v>
      </c>
      <c r="L138" t="s">
        <v>17</v>
      </c>
      <c r="M138" t="s">
        <v>18</v>
      </c>
      <c r="N138">
        <v>6</v>
      </c>
      <c r="R138" t="s">
        <v>33</v>
      </c>
      <c r="S138" t="s">
        <v>48</v>
      </c>
      <c r="T138">
        <v>483.25</v>
      </c>
      <c r="U138" t="str">
        <f>_xlfn.IFNA(_xlfn.IFS(E138&gt;Dash!$D$46, "Big", E138&lt;Dash!$D$49, "Small", E138&gt;Dash!$D$47, "Good"), "Norm")</f>
        <v>Norm</v>
      </c>
      <c r="V138" t="s">
        <v>41</v>
      </c>
      <c r="W138">
        <v>182</v>
      </c>
      <c r="X138" t="s">
        <v>43</v>
      </c>
    </row>
    <row r="139" spans="1:24" x14ac:dyDescent="0.25">
      <c r="A139" s="1">
        <v>45545</v>
      </c>
      <c r="B139" t="s">
        <v>19</v>
      </c>
      <c r="C139" t="s">
        <v>20</v>
      </c>
      <c r="D139" t="s">
        <v>28</v>
      </c>
      <c r="E139">
        <v>288.75</v>
      </c>
      <c r="F139">
        <v>1800</v>
      </c>
      <c r="G139">
        <v>1800</v>
      </c>
      <c r="J139" t="s">
        <v>29</v>
      </c>
      <c r="K139" t="s">
        <v>39</v>
      </c>
      <c r="L139" t="s">
        <v>32</v>
      </c>
      <c r="M139" t="s">
        <v>18</v>
      </c>
      <c r="N139">
        <v>6</v>
      </c>
      <c r="R139" t="s">
        <v>33</v>
      </c>
      <c r="S139" t="s">
        <v>52</v>
      </c>
      <c r="T139">
        <v>746.5</v>
      </c>
      <c r="U139" t="str">
        <f>_xlfn.IFNA(_xlfn.IFS(E139&gt;Dash!$D$46, "Big", E139&lt;Dash!$D$49, "Small", E139&gt;Dash!$D$47, "Good"), "Norm")</f>
        <v>Good</v>
      </c>
      <c r="V139" t="s">
        <v>13</v>
      </c>
      <c r="W139">
        <v>232.75</v>
      </c>
      <c r="X139">
        <v>1</v>
      </c>
    </row>
    <row r="140" spans="1:24" x14ac:dyDescent="0.25">
      <c r="A140" s="1">
        <v>45547</v>
      </c>
      <c r="B140" t="s">
        <v>36</v>
      </c>
      <c r="C140" t="s">
        <v>33</v>
      </c>
      <c r="D140" t="s">
        <v>28</v>
      </c>
      <c r="E140">
        <v>298.5</v>
      </c>
      <c r="F140">
        <v>2100</v>
      </c>
      <c r="G140">
        <v>2100</v>
      </c>
      <c r="J140" t="s">
        <v>29</v>
      </c>
      <c r="K140" t="s">
        <v>25</v>
      </c>
      <c r="L140" t="s">
        <v>35</v>
      </c>
      <c r="M140" t="s">
        <v>18</v>
      </c>
      <c r="N140">
        <v>6</v>
      </c>
      <c r="R140" t="s">
        <v>33</v>
      </c>
      <c r="S140" t="s">
        <v>28</v>
      </c>
      <c r="T140">
        <v>179</v>
      </c>
      <c r="U140" t="str">
        <f>_xlfn.IFNA(_xlfn.IFS(E140&gt;Dash!$D$46, "Big", E140&lt;Dash!$D$49, "Small", E140&gt;Dash!$D$47, "Good"), "Norm")</f>
        <v>Good</v>
      </c>
      <c r="V140" t="s">
        <v>33</v>
      </c>
      <c r="W140">
        <v>746.5</v>
      </c>
      <c r="X140" t="s">
        <v>52</v>
      </c>
    </row>
    <row r="141" spans="1:24" x14ac:dyDescent="0.25">
      <c r="A141" s="1">
        <v>45548</v>
      </c>
      <c r="B141" t="s">
        <v>26</v>
      </c>
      <c r="C141" t="s">
        <v>33</v>
      </c>
      <c r="D141" t="s">
        <v>28</v>
      </c>
      <c r="E141">
        <v>179</v>
      </c>
      <c r="F141">
        <v>100</v>
      </c>
      <c r="G141">
        <v>100</v>
      </c>
      <c r="J141" t="s">
        <v>29</v>
      </c>
      <c r="K141" t="s">
        <v>25</v>
      </c>
      <c r="L141" t="s">
        <v>32</v>
      </c>
      <c r="M141" t="s">
        <v>18</v>
      </c>
      <c r="N141">
        <v>6</v>
      </c>
      <c r="R141" t="s">
        <v>24</v>
      </c>
      <c r="S141" t="s">
        <v>51</v>
      </c>
      <c r="T141">
        <v>168.5</v>
      </c>
      <c r="U141" t="str">
        <f>_xlfn.IFNA(_xlfn.IFS(E141&gt;Dash!$D$46, "Big", E141&lt;Dash!$D$49, "Small", E141&gt;Dash!$D$47, "Good"), "Norm")</f>
        <v>Norm</v>
      </c>
      <c r="V141" t="s">
        <v>33</v>
      </c>
      <c r="W141">
        <v>298.5</v>
      </c>
      <c r="X141" t="s">
        <v>28</v>
      </c>
    </row>
    <row r="142" spans="1:24" x14ac:dyDescent="0.25">
      <c r="A142" s="1">
        <v>45552</v>
      </c>
      <c r="B142" t="s">
        <v>19</v>
      </c>
      <c r="C142" t="s">
        <v>33</v>
      </c>
      <c r="D142" t="s">
        <v>28</v>
      </c>
      <c r="E142">
        <v>275.75</v>
      </c>
      <c r="F142">
        <v>500</v>
      </c>
      <c r="G142">
        <v>500</v>
      </c>
      <c r="J142" t="s">
        <v>30</v>
      </c>
      <c r="K142" t="s">
        <v>35</v>
      </c>
      <c r="L142" t="s">
        <v>17</v>
      </c>
      <c r="M142" t="s">
        <v>19</v>
      </c>
      <c r="N142">
        <v>7</v>
      </c>
      <c r="R142" t="s">
        <v>33</v>
      </c>
      <c r="S142" t="s">
        <v>48</v>
      </c>
      <c r="T142">
        <v>342</v>
      </c>
      <c r="U142" t="str">
        <f>_xlfn.IFNA(_xlfn.IFS(E142&gt;Dash!$D$46, "Big", E142&lt;Dash!$D$49, "Small", E142&gt;Dash!$D$47, "Good"), "Norm")</f>
        <v>Good</v>
      </c>
      <c r="V142" t="s">
        <v>24</v>
      </c>
      <c r="W142">
        <v>168.5</v>
      </c>
      <c r="X142" t="s">
        <v>51</v>
      </c>
    </row>
    <row r="143" spans="1:24" x14ac:dyDescent="0.25">
      <c r="A143" s="1">
        <v>45554</v>
      </c>
      <c r="B143" t="s">
        <v>36</v>
      </c>
      <c r="C143" t="s">
        <v>13</v>
      </c>
      <c r="D143" t="s">
        <v>28</v>
      </c>
      <c r="E143">
        <v>239</v>
      </c>
      <c r="F143">
        <v>200</v>
      </c>
      <c r="J143" t="s">
        <v>30</v>
      </c>
      <c r="K143" t="s">
        <v>31</v>
      </c>
      <c r="L143" t="s">
        <v>32</v>
      </c>
      <c r="M143" t="s">
        <v>19</v>
      </c>
      <c r="N143">
        <v>7</v>
      </c>
      <c r="R143" t="s">
        <v>33</v>
      </c>
      <c r="S143">
        <v>1</v>
      </c>
      <c r="T143">
        <v>224</v>
      </c>
      <c r="U143" t="str">
        <f>_xlfn.IFNA(_xlfn.IFS(E143&gt;Dash!$D$46, "Big", E143&lt;Dash!$D$49, "Small", E143&gt;Dash!$D$47, "Good"), "Norm")</f>
        <v>Norm</v>
      </c>
      <c r="V143" t="s">
        <v>33</v>
      </c>
      <c r="W143">
        <v>342</v>
      </c>
      <c r="X143" t="s">
        <v>48</v>
      </c>
    </row>
    <row r="144" spans="1:24" x14ac:dyDescent="0.25">
      <c r="A144" s="1">
        <v>45558</v>
      </c>
      <c r="B144" t="s">
        <v>23</v>
      </c>
      <c r="D144" t="s">
        <v>28</v>
      </c>
      <c r="E144">
        <v>108</v>
      </c>
      <c r="F144">
        <v>2000</v>
      </c>
      <c r="G144">
        <v>300</v>
      </c>
      <c r="J144" t="s">
        <v>29</v>
      </c>
      <c r="K144" t="s">
        <v>16</v>
      </c>
      <c r="L144" t="s">
        <v>50</v>
      </c>
      <c r="M144" t="s">
        <v>23</v>
      </c>
      <c r="N144">
        <v>7</v>
      </c>
      <c r="R144" t="s">
        <v>33</v>
      </c>
      <c r="S144" t="s">
        <v>28</v>
      </c>
      <c r="T144">
        <v>261.75</v>
      </c>
      <c r="U144" t="str">
        <f>_xlfn.IFNA(_xlfn.IFS(E144&gt;Dash!$D$46, "Big", E144&lt;Dash!$D$49, "Small", E144&gt;Dash!$D$47, "Good"), "Norm")</f>
        <v>Small</v>
      </c>
      <c r="V144" t="s">
        <v>33</v>
      </c>
      <c r="W144">
        <v>224</v>
      </c>
      <c r="X144">
        <v>1</v>
      </c>
    </row>
    <row r="145" spans="1:24" x14ac:dyDescent="0.25">
      <c r="A145" s="1">
        <v>45559</v>
      </c>
      <c r="B145" t="s">
        <v>19</v>
      </c>
      <c r="C145" t="s">
        <v>33</v>
      </c>
      <c r="D145" t="s">
        <v>28</v>
      </c>
      <c r="E145">
        <v>261.75</v>
      </c>
      <c r="F145">
        <v>400</v>
      </c>
      <c r="G145">
        <v>500</v>
      </c>
      <c r="J145" t="s">
        <v>30</v>
      </c>
      <c r="K145" t="s">
        <v>25</v>
      </c>
      <c r="L145" t="s">
        <v>35</v>
      </c>
      <c r="M145" t="s">
        <v>23</v>
      </c>
      <c r="N145">
        <v>7</v>
      </c>
      <c r="R145" t="s">
        <v>41</v>
      </c>
      <c r="S145" t="s">
        <v>43</v>
      </c>
      <c r="T145">
        <v>146</v>
      </c>
      <c r="U145" t="str">
        <f>_xlfn.IFNA(_xlfn.IFS(E145&gt;Dash!$D$46, "Big", E145&lt;Dash!$D$49, "Small", E145&gt;Dash!$D$47, "Good"), "Norm")</f>
        <v>Good</v>
      </c>
      <c r="V145">
        <v>0</v>
      </c>
      <c r="W145">
        <v>108</v>
      </c>
      <c r="X145" t="s">
        <v>28</v>
      </c>
    </row>
    <row r="146" spans="1:24" x14ac:dyDescent="0.25">
      <c r="A146" s="1">
        <v>45561</v>
      </c>
      <c r="B146" t="s">
        <v>36</v>
      </c>
      <c r="C146" t="s">
        <v>33</v>
      </c>
      <c r="D146" t="s">
        <v>28</v>
      </c>
      <c r="E146">
        <v>350</v>
      </c>
      <c r="F146">
        <v>1900</v>
      </c>
      <c r="G146">
        <v>1000</v>
      </c>
      <c r="J146" t="s">
        <v>29</v>
      </c>
      <c r="K146" t="s">
        <v>35</v>
      </c>
      <c r="L146" t="s">
        <v>25</v>
      </c>
      <c r="M146" t="s">
        <v>23</v>
      </c>
      <c r="N146">
        <v>7</v>
      </c>
      <c r="R146" t="s">
        <v>33</v>
      </c>
      <c r="S146" t="s">
        <v>14</v>
      </c>
      <c r="T146">
        <v>222.75</v>
      </c>
      <c r="U146" t="str">
        <f>_xlfn.IFNA(_xlfn.IFS(E146&gt;Dash!$D$46, "Big", E146&lt;Dash!$D$49, "Small", E146&gt;Dash!$D$47, "Good"), "Norm")</f>
        <v>Good</v>
      </c>
      <c r="V146" t="s">
        <v>41</v>
      </c>
      <c r="W146">
        <v>146</v>
      </c>
      <c r="X146" t="s">
        <v>43</v>
      </c>
    </row>
    <row r="147" spans="1:24" x14ac:dyDescent="0.25">
      <c r="A147" s="1">
        <v>45569</v>
      </c>
      <c r="B147" t="s">
        <v>26</v>
      </c>
      <c r="C147" t="s">
        <v>24</v>
      </c>
      <c r="D147" t="s">
        <v>28</v>
      </c>
      <c r="E147">
        <v>250.5</v>
      </c>
      <c r="F147">
        <v>800</v>
      </c>
      <c r="G147">
        <v>900</v>
      </c>
      <c r="J147" t="s">
        <v>27</v>
      </c>
      <c r="K147" t="s">
        <v>31</v>
      </c>
      <c r="L147" t="s">
        <v>35</v>
      </c>
      <c r="M147" t="s">
        <v>23</v>
      </c>
      <c r="N147">
        <v>9</v>
      </c>
      <c r="R147" t="s">
        <v>13</v>
      </c>
      <c r="S147" t="s">
        <v>43</v>
      </c>
      <c r="T147">
        <v>239.25</v>
      </c>
      <c r="U147" t="str">
        <f>_xlfn.IFNA(_xlfn.IFS(E147&gt;Dash!$D$46, "Big", E147&lt;Dash!$D$49, "Small", E147&gt;Dash!$D$47, "Good"), "Norm")</f>
        <v>Norm</v>
      </c>
      <c r="V147" t="s">
        <v>41</v>
      </c>
      <c r="W147">
        <v>234.75</v>
      </c>
      <c r="X147" t="s">
        <v>43</v>
      </c>
    </row>
    <row r="148" spans="1:24" x14ac:dyDescent="0.25">
      <c r="A148" s="1">
        <v>45574</v>
      </c>
      <c r="B148" t="s">
        <v>18</v>
      </c>
      <c r="C148" t="s">
        <v>20</v>
      </c>
      <c r="D148" t="s">
        <v>28</v>
      </c>
      <c r="E148">
        <v>244.25</v>
      </c>
      <c r="F148">
        <v>1000</v>
      </c>
      <c r="J148" t="s">
        <v>27</v>
      </c>
      <c r="K148" t="s">
        <v>39</v>
      </c>
      <c r="L148" t="s">
        <v>32</v>
      </c>
      <c r="M148" t="s">
        <v>18</v>
      </c>
      <c r="N148">
        <v>7</v>
      </c>
      <c r="R148" t="s">
        <v>33</v>
      </c>
      <c r="S148" t="s">
        <v>43</v>
      </c>
      <c r="T148">
        <v>206.75</v>
      </c>
      <c r="U148" t="str">
        <f>_xlfn.IFNA(_xlfn.IFS(E148&gt;Dash!$D$46, "Big", E148&lt;Dash!$D$49, "Small", E148&gt;Dash!$D$47, "Good"), "Norm")</f>
        <v>Norm</v>
      </c>
      <c r="V148" t="s">
        <v>13</v>
      </c>
      <c r="W148">
        <v>273.25</v>
      </c>
      <c r="X148" t="s">
        <v>38</v>
      </c>
    </row>
    <row r="149" spans="1:24" x14ac:dyDescent="0.25">
      <c r="A149" s="1">
        <v>45579</v>
      </c>
      <c r="B149" t="s">
        <v>23</v>
      </c>
      <c r="C149" t="s">
        <v>24</v>
      </c>
      <c r="D149" t="s">
        <v>28</v>
      </c>
      <c r="E149">
        <v>177.5</v>
      </c>
      <c r="F149">
        <v>600</v>
      </c>
      <c r="J149" t="s">
        <v>30</v>
      </c>
      <c r="K149" t="s">
        <v>31</v>
      </c>
      <c r="L149" t="s">
        <v>35</v>
      </c>
      <c r="M149" t="s">
        <v>36</v>
      </c>
      <c r="N149">
        <v>3</v>
      </c>
      <c r="R149" t="s">
        <v>33</v>
      </c>
      <c r="S149" t="s">
        <v>14</v>
      </c>
      <c r="T149">
        <v>405.25</v>
      </c>
      <c r="U149" t="str">
        <f>_xlfn.IFNA(_xlfn.IFS(E149&gt;Dash!$D$46, "Big", E149&lt;Dash!$D$49, "Small", E149&gt;Dash!$D$47, "Good"), "Norm")</f>
        <v>Norm</v>
      </c>
      <c r="V149" t="s">
        <v>33</v>
      </c>
      <c r="W149">
        <v>179.5</v>
      </c>
      <c r="X149">
        <v>1</v>
      </c>
    </row>
    <row r="150" spans="1:24" x14ac:dyDescent="0.25">
      <c r="A150" s="1">
        <v>45582</v>
      </c>
      <c r="B150" t="s">
        <v>36</v>
      </c>
      <c r="C150" t="s">
        <v>24</v>
      </c>
      <c r="D150" t="s">
        <v>28</v>
      </c>
      <c r="E150">
        <v>241</v>
      </c>
      <c r="F150">
        <v>200</v>
      </c>
      <c r="G150">
        <v>1500</v>
      </c>
      <c r="J150" t="s">
        <v>30</v>
      </c>
      <c r="K150" t="s">
        <v>31</v>
      </c>
      <c r="L150" t="s">
        <v>35</v>
      </c>
      <c r="M150" t="s">
        <v>36</v>
      </c>
      <c r="N150">
        <v>3</v>
      </c>
      <c r="O150" t="s">
        <v>74</v>
      </c>
      <c r="R150" t="s">
        <v>24</v>
      </c>
      <c r="S150">
        <v>1</v>
      </c>
      <c r="T150">
        <v>96.75</v>
      </c>
      <c r="U150" t="str">
        <f>_xlfn.IFNA(_xlfn.IFS(E150&gt;Dash!$D$46, "Big", E150&lt;Dash!$D$49, "Small", E150&gt;Dash!$D$47, "Good"), "Norm")</f>
        <v>Norm</v>
      </c>
      <c r="V150" t="s">
        <v>24</v>
      </c>
      <c r="W150">
        <v>173</v>
      </c>
      <c r="X150" t="s">
        <v>46</v>
      </c>
    </row>
    <row r="151" spans="1:24" x14ac:dyDescent="0.25">
      <c r="A151" s="1">
        <v>45586</v>
      </c>
      <c r="B151" t="s">
        <v>23</v>
      </c>
      <c r="C151" t="s">
        <v>41</v>
      </c>
      <c r="D151" t="s">
        <v>28</v>
      </c>
      <c r="E151">
        <v>209.5</v>
      </c>
      <c r="F151">
        <v>1000</v>
      </c>
      <c r="G151">
        <v>1000</v>
      </c>
      <c r="J151" t="s">
        <v>27</v>
      </c>
      <c r="K151" t="s">
        <v>39</v>
      </c>
      <c r="L151" t="s">
        <v>35</v>
      </c>
      <c r="M151" t="s">
        <v>36</v>
      </c>
      <c r="N151">
        <v>3</v>
      </c>
      <c r="R151" t="s">
        <v>33</v>
      </c>
      <c r="S151" t="s">
        <v>28</v>
      </c>
      <c r="T151">
        <v>242</v>
      </c>
      <c r="U151" t="str">
        <f>_xlfn.IFNA(_xlfn.IFS(E151&gt;Dash!$D$46, "Big", E151&lt;Dash!$D$49, "Small", E151&gt;Dash!$D$47, "Good"), "Norm")</f>
        <v>Norm</v>
      </c>
      <c r="V151" t="s">
        <v>24</v>
      </c>
      <c r="W151">
        <v>96.75</v>
      </c>
      <c r="X151">
        <v>1</v>
      </c>
    </row>
    <row r="152" spans="1:24" x14ac:dyDescent="0.25">
      <c r="A152" s="1">
        <v>45587</v>
      </c>
      <c r="B152" t="s">
        <v>19</v>
      </c>
      <c r="C152" t="s">
        <v>33</v>
      </c>
      <c r="D152" t="s">
        <v>28</v>
      </c>
      <c r="E152">
        <v>242</v>
      </c>
      <c r="F152">
        <v>1300</v>
      </c>
      <c r="G152">
        <v>1400</v>
      </c>
      <c r="J152" t="s">
        <v>49</v>
      </c>
      <c r="K152" t="s">
        <v>25</v>
      </c>
      <c r="L152" t="s">
        <v>32</v>
      </c>
      <c r="M152" t="s">
        <v>36</v>
      </c>
      <c r="N152">
        <v>3</v>
      </c>
      <c r="R152" t="s">
        <v>20</v>
      </c>
      <c r="S152" t="s">
        <v>14</v>
      </c>
      <c r="T152">
        <v>415.5</v>
      </c>
      <c r="U152" t="str">
        <f>_xlfn.IFNA(_xlfn.IFS(E152&gt;Dash!$D$46, "Big", E152&lt;Dash!$D$49, "Small", E152&gt;Dash!$D$47, "Good"), "Norm")</f>
        <v>Norm</v>
      </c>
      <c r="V152" t="s">
        <v>41</v>
      </c>
      <c r="W152">
        <v>209.5</v>
      </c>
      <c r="X152" t="s">
        <v>28</v>
      </c>
    </row>
    <row r="153" spans="1:24" x14ac:dyDescent="0.25">
      <c r="A153" s="1">
        <v>45590</v>
      </c>
      <c r="B153" t="s">
        <v>26</v>
      </c>
      <c r="C153" t="s">
        <v>24</v>
      </c>
      <c r="D153" t="s">
        <v>28</v>
      </c>
      <c r="E153">
        <v>264.25</v>
      </c>
      <c r="F153">
        <v>300</v>
      </c>
      <c r="G153">
        <v>400</v>
      </c>
      <c r="J153" t="s">
        <v>30</v>
      </c>
      <c r="K153" t="s">
        <v>31</v>
      </c>
      <c r="L153" t="s">
        <v>35</v>
      </c>
      <c r="M153" t="s">
        <v>36</v>
      </c>
      <c r="N153">
        <v>3</v>
      </c>
      <c r="R153" t="s">
        <v>20</v>
      </c>
      <c r="S153">
        <v>1</v>
      </c>
      <c r="T153">
        <v>179.75</v>
      </c>
      <c r="U153" t="str">
        <f>_xlfn.IFNA(_xlfn.IFS(E153&gt;Dash!$D$46, "Big", E153&lt;Dash!$D$49, "Small", E153&gt;Dash!$D$47, "Good"), "Norm")</f>
        <v>Good</v>
      </c>
      <c r="V153" t="s">
        <v>33</v>
      </c>
      <c r="W153">
        <v>166.75</v>
      </c>
      <c r="X153">
        <v>1</v>
      </c>
    </row>
    <row r="154" spans="1:24" x14ac:dyDescent="0.25">
      <c r="A154" s="1">
        <v>45601</v>
      </c>
      <c r="B154" t="s">
        <v>19</v>
      </c>
      <c r="C154" t="s">
        <v>13</v>
      </c>
      <c r="D154" t="s">
        <v>28</v>
      </c>
      <c r="E154">
        <v>265.25</v>
      </c>
      <c r="F154">
        <v>900</v>
      </c>
      <c r="J154" t="s">
        <v>27</v>
      </c>
      <c r="K154" t="s">
        <v>31</v>
      </c>
      <c r="L154" t="s">
        <v>44</v>
      </c>
      <c r="M154" t="s">
        <v>19</v>
      </c>
      <c r="N154">
        <v>7</v>
      </c>
      <c r="R154" t="s">
        <v>13</v>
      </c>
      <c r="S154" t="s">
        <v>28</v>
      </c>
      <c r="T154">
        <v>287</v>
      </c>
      <c r="U154" t="str">
        <f>_xlfn.IFNA(_xlfn.IFS(E154&gt;Dash!$D$46, "Big", E154&lt;Dash!$D$49, "Small", E154&gt;Dash!$D$47, "Good"), "Norm")</f>
        <v>Good</v>
      </c>
      <c r="V154" t="s">
        <v>24</v>
      </c>
      <c r="W154">
        <v>213.75</v>
      </c>
      <c r="X154" t="s">
        <v>14</v>
      </c>
    </row>
    <row r="155" spans="1:24" x14ac:dyDescent="0.25">
      <c r="A155" s="1">
        <v>45602</v>
      </c>
      <c r="B155" t="s">
        <v>18</v>
      </c>
      <c r="C155" t="s">
        <v>13</v>
      </c>
      <c r="D155" t="s">
        <v>28</v>
      </c>
      <c r="E155">
        <v>287</v>
      </c>
      <c r="F155">
        <v>1900</v>
      </c>
      <c r="J155" t="s">
        <v>29</v>
      </c>
      <c r="K155" t="s">
        <v>31</v>
      </c>
      <c r="L155" t="s">
        <v>44</v>
      </c>
      <c r="M155" t="s">
        <v>19</v>
      </c>
      <c r="N155">
        <v>7</v>
      </c>
      <c r="R155" t="s">
        <v>13</v>
      </c>
      <c r="S155" t="s">
        <v>28</v>
      </c>
      <c r="T155">
        <v>294.75</v>
      </c>
      <c r="U155" t="str">
        <f>_xlfn.IFNA(_xlfn.IFS(E155&gt;Dash!$D$46, "Big", E155&lt;Dash!$D$49, "Small", E155&gt;Dash!$D$47, "Good"), "Norm")</f>
        <v>Good</v>
      </c>
      <c r="V155" t="s">
        <v>13</v>
      </c>
      <c r="W155">
        <v>265.25</v>
      </c>
      <c r="X155" t="s">
        <v>28</v>
      </c>
    </row>
    <row r="156" spans="1:24" x14ac:dyDescent="0.25">
      <c r="A156" s="1">
        <v>45603</v>
      </c>
      <c r="B156" t="s">
        <v>36</v>
      </c>
      <c r="C156" t="s">
        <v>13</v>
      </c>
      <c r="D156" t="s">
        <v>28</v>
      </c>
      <c r="E156">
        <v>294.75</v>
      </c>
      <c r="F156">
        <v>2200</v>
      </c>
      <c r="G156">
        <v>2200</v>
      </c>
      <c r="J156" t="s">
        <v>29</v>
      </c>
      <c r="K156" t="s">
        <v>31</v>
      </c>
      <c r="L156" t="s">
        <v>32</v>
      </c>
      <c r="M156" t="s">
        <v>19</v>
      </c>
      <c r="N156">
        <v>7</v>
      </c>
      <c r="R156" t="s">
        <v>20</v>
      </c>
      <c r="S156" t="s">
        <v>28</v>
      </c>
      <c r="T156">
        <v>108.75</v>
      </c>
      <c r="U156" t="str">
        <f>_xlfn.IFNA(_xlfn.IFS(E156&gt;Dash!$D$46, "Big", E156&lt;Dash!$D$49, "Small", E156&gt;Dash!$D$47, "Good"), "Norm")</f>
        <v>Good</v>
      </c>
      <c r="V156" t="s">
        <v>13</v>
      </c>
      <c r="W156">
        <v>287</v>
      </c>
      <c r="X156" t="s">
        <v>28</v>
      </c>
    </row>
    <row r="157" spans="1:24" x14ac:dyDescent="0.25">
      <c r="A157" s="1">
        <v>45604</v>
      </c>
      <c r="B157" t="s">
        <v>26</v>
      </c>
      <c r="C157" t="s">
        <v>20</v>
      </c>
      <c r="D157" t="s">
        <v>28</v>
      </c>
      <c r="E157">
        <v>108.75</v>
      </c>
      <c r="F157">
        <v>0</v>
      </c>
      <c r="G157">
        <v>0</v>
      </c>
      <c r="J157" t="s">
        <v>29</v>
      </c>
      <c r="K157" t="s">
        <v>39</v>
      </c>
      <c r="L157" t="s">
        <v>32</v>
      </c>
      <c r="M157" t="s">
        <v>19</v>
      </c>
      <c r="N157">
        <v>7</v>
      </c>
      <c r="R157" t="s">
        <v>33</v>
      </c>
      <c r="S157" t="s">
        <v>48</v>
      </c>
      <c r="T157">
        <v>242.5</v>
      </c>
      <c r="U157" t="str">
        <f>_xlfn.IFNA(_xlfn.IFS(E157&gt;Dash!$D$46, "Big", E157&lt;Dash!$D$49, "Small", E157&gt;Dash!$D$47, "Good"), "Norm")</f>
        <v>Small</v>
      </c>
      <c r="V157" t="s">
        <v>13</v>
      </c>
      <c r="W157">
        <v>294.75</v>
      </c>
      <c r="X157" t="s">
        <v>28</v>
      </c>
    </row>
    <row r="158" spans="1:24" x14ac:dyDescent="0.25">
      <c r="A158" s="1">
        <v>45617</v>
      </c>
      <c r="B158" t="s">
        <v>36</v>
      </c>
      <c r="C158" t="s">
        <v>33</v>
      </c>
      <c r="D158" t="s">
        <v>28</v>
      </c>
      <c r="E158">
        <v>391.5</v>
      </c>
      <c r="F158">
        <v>800</v>
      </c>
      <c r="G158">
        <v>900</v>
      </c>
      <c r="J158" t="s">
        <v>27</v>
      </c>
      <c r="K158" t="s">
        <v>35</v>
      </c>
      <c r="L158" t="s">
        <v>25</v>
      </c>
      <c r="M158" t="s">
        <v>36</v>
      </c>
      <c r="N158">
        <v>3</v>
      </c>
      <c r="R158" t="s">
        <v>20</v>
      </c>
      <c r="S158">
        <v>1</v>
      </c>
      <c r="T158">
        <v>157.75</v>
      </c>
      <c r="U158" t="str">
        <f>_xlfn.IFNA(_xlfn.IFS(E158&gt;Dash!$D$46, "Big", E158&lt;Dash!$D$49, "Small", E158&gt;Dash!$D$47, "Good"), "Norm")</f>
        <v>Good</v>
      </c>
      <c r="V158" t="s">
        <v>41</v>
      </c>
      <c r="W158">
        <v>353</v>
      </c>
      <c r="X158" t="s">
        <v>43</v>
      </c>
    </row>
    <row r="159" spans="1:24" x14ac:dyDescent="0.25">
      <c r="A159" s="1">
        <v>45625</v>
      </c>
      <c r="B159" t="s">
        <v>108</v>
      </c>
      <c r="C159" t="s">
        <v>33</v>
      </c>
      <c r="D159" t="s">
        <v>28</v>
      </c>
      <c r="E159">
        <v>212</v>
      </c>
      <c r="F159">
        <v>1200</v>
      </c>
      <c r="G159">
        <v>1200</v>
      </c>
      <c r="J159" t="s">
        <v>34</v>
      </c>
      <c r="K159" t="s">
        <v>25</v>
      </c>
      <c r="L159" t="s">
        <v>32</v>
      </c>
      <c r="M159" t="s">
        <v>19</v>
      </c>
      <c r="N159">
        <v>5</v>
      </c>
      <c r="R159" t="s">
        <v>13</v>
      </c>
      <c r="S159" t="s">
        <v>28</v>
      </c>
      <c r="T159">
        <v>260.75</v>
      </c>
      <c r="U159" t="str">
        <f>_xlfn.IFNA(_xlfn.IFS(E159&gt;Dash!$D$46, "Big", E159&lt;Dash!$D$49, "Small", E159&gt;Dash!$D$47, "Good"), "Norm")</f>
        <v>Norm</v>
      </c>
      <c r="V159" t="s">
        <v>13</v>
      </c>
      <c r="W159">
        <v>289.75</v>
      </c>
      <c r="X159" t="s">
        <v>14</v>
      </c>
    </row>
    <row r="160" spans="1:24" x14ac:dyDescent="0.25">
      <c r="A160" s="1">
        <v>45628</v>
      </c>
      <c r="B160" t="s">
        <v>23</v>
      </c>
      <c r="C160" t="s">
        <v>13</v>
      </c>
      <c r="D160" t="s">
        <v>28</v>
      </c>
      <c r="E160">
        <v>260.75</v>
      </c>
      <c r="F160">
        <v>800</v>
      </c>
      <c r="J160" t="s">
        <v>27</v>
      </c>
      <c r="K160" t="s">
        <v>31</v>
      </c>
      <c r="L160" t="s">
        <v>32</v>
      </c>
      <c r="M160" t="s">
        <v>23</v>
      </c>
      <c r="N160">
        <v>9</v>
      </c>
      <c r="R160" t="s">
        <v>33</v>
      </c>
      <c r="S160" t="s">
        <v>28</v>
      </c>
      <c r="T160">
        <v>155.5</v>
      </c>
      <c r="U160" t="str">
        <f>_xlfn.IFNA(_xlfn.IFS(E160&gt;Dash!$D$46, "Big", E160&lt;Dash!$D$49, "Small", E160&gt;Dash!$D$47, "Good"), "Norm")</f>
        <v>Good</v>
      </c>
      <c r="V160" t="s">
        <v>33</v>
      </c>
      <c r="W160">
        <v>212</v>
      </c>
      <c r="X160" t="s">
        <v>28</v>
      </c>
    </row>
    <row r="161" spans="1:24" x14ac:dyDescent="0.25">
      <c r="A161" s="1">
        <v>45629</v>
      </c>
      <c r="B161" t="s">
        <v>19</v>
      </c>
      <c r="C161" t="s">
        <v>33</v>
      </c>
      <c r="D161" t="s">
        <v>28</v>
      </c>
      <c r="E161">
        <v>155.5</v>
      </c>
      <c r="F161">
        <v>1100</v>
      </c>
      <c r="G161">
        <v>1100</v>
      </c>
      <c r="J161" t="s">
        <v>27</v>
      </c>
      <c r="K161" t="s">
        <v>25</v>
      </c>
      <c r="L161" t="s">
        <v>44</v>
      </c>
      <c r="M161" t="s">
        <v>23</v>
      </c>
      <c r="N161">
        <v>9</v>
      </c>
      <c r="R161" t="s">
        <v>13</v>
      </c>
      <c r="S161" t="s">
        <v>28</v>
      </c>
      <c r="T161">
        <v>160.25</v>
      </c>
      <c r="U161" t="str">
        <f>_xlfn.IFNA(_xlfn.IFS(E161&gt;Dash!$D$46, "Big", E161&lt;Dash!$D$49, "Small", E161&gt;Dash!$D$47, "Good"), "Norm")</f>
        <v>Small</v>
      </c>
      <c r="V161" t="s">
        <v>13</v>
      </c>
      <c r="W161">
        <v>260.75</v>
      </c>
      <c r="X161" t="s">
        <v>28</v>
      </c>
    </row>
    <row r="162" spans="1:24" x14ac:dyDescent="0.25">
      <c r="A162" s="1">
        <v>45630</v>
      </c>
      <c r="B162" t="s">
        <v>18</v>
      </c>
      <c r="C162" t="s">
        <v>13</v>
      </c>
      <c r="D162" t="s">
        <v>28</v>
      </c>
      <c r="E162">
        <v>160.25</v>
      </c>
      <c r="F162">
        <v>1800</v>
      </c>
      <c r="J162" t="s">
        <v>29</v>
      </c>
      <c r="K162" t="s">
        <v>31</v>
      </c>
      <c r="L162" t="s">
        <v>32</v>
      </c>
      <c r="M162" t="s">
        <v>23</v>
      </c>
      <c r="N162">
        <v>9</v>
      </c>
      <c r="R162" t="s">
        <v>33</v>
      </c>
      <c r="S162" t="s">
        <v>43</v>
      </c>
      <c r="T162">
        <v>108.25</v>
      </c>
      <c r="U162" t="str">
        <f>_xlfn.IFNA(_xlfn.IFS(E162&gt;Dash!$D$46, "Big", E162&lt;Dash!$D$49, "Small", E162&gt;Dash!$D$47, "Good"), "Norm")</f>
        <v>Norm</v>
      </c>
      <c r="V162" t="s">
        <v>33</v>
      </c>
      <c r="W162">
        <v>155.5</v>
      </c>
      <c r="X162" t="s">
        <v>28</v>
      </c>
    </row>
    <row r="163" spans="1:24" x14ac:dyDescent="0.25">
      <c r="A163" s="1">
        <v>45637</v>
      </c>
      <c r="B163" t="s">
        <v>18</v>
      </c>
      <c r="C163" t="s">
        <v>20</v>
      </c>
      <c r="D163" t="s">
        <v>28</v>
      </c>
      <c r="E163">
        <v>383.75</v>
      </c>
      <c r="F163">
        <v>900</v>
      </c>
      <c r="J163" t="s">
        <v>27</v>
      </c>
      <c r="K163" t="s">
        <v>39</v>
      </c>
      <c r="L163" t="s">
        <v>32</v>
      </c>
      <c r="M163" t="s">
        <v>18</v>
      </c>
      <c r="N163">
        <v>6</v>
      </c>
      <c r="R163" t="s">
        <v>13</v>
      </c>
      <c r="S163">
        <v>1</v>
      </c>
      <c r="T163">
        <v>120.25</v>
      </c>
      <c r="U163" t="str">
        <f>_xlfn.IFNA(_xlfn.IFS(E163&gt;Dash!$D$46, "Big", E163&lt;Dash!$D$49, "Small", E163&gt;Dash!$D$47, "Good"), "Norm")</f>
        <v>Good</v>
      </c>
      <c r="V163" t="s">
        <v>33</v>
      </c>
      <c r="W163">
        <v>254</v>
      </c>
      <c r="X163" t="s">
        <v>14</v>
      </c>
    </row>
    <row r="164" spans="1:24" x14ac:dyDescent="0.25">
      <c r="A164" s="1">
        <v>45650</v>
      </c>
      <c r="B164" t="s">
        <v>19</v>
      </c>
      <c r="C164" t="s">
        <v>13</v>
      </c>
      <c r="D164" t="s">
        <v>28</v>
      </c>
      <c r="E164">
        <v>297</v>
      </c>
      <c r="F164">
        <v>200</v>
      </c>
      <c r="G164">
        <v>200</v>
      </c>
      <c r="J164" t="s">
        <v>30</v>
      </c>
      <c r="K164" t="s">
        <v>31</v>
      </c>
      <c r="L164" t="s">
        <v>32</v>
      </c>
      <c r="M164" t="s">
        <v>36</v>
      </c>
      <c r="N164">
        <v>1</v>
      </c>
      <c r="R164" t="s">
        <v>24</v>
      </c>
      <c r="S164" t="s">
        <v>28</v>
      </c>
      <c r="T164">
        <v>206</v>
      </c>
      <c r="U164" t="str">
        <f>_xlfn.IFNA(_xlfn.IFS(E164&gt;Dash!$D$46, "Big", E164&lt;Dash!$D$49, "Small", E164&gt;Dash!$D$47, "Good"), "Norm")</f>
        <v>Good</v>
      </c>
      <c r="V164" t="s">
        <v>33</v>
      </c>
      <c r="W164">
        <v>300</v>
      </c>
      <c r="X164">
        <v>1</v>
      </c>
    </row>
    <row r="165" spans="1:24" x14ac:dyDescent="0.25">
      <c r="A165" s="1">
        <v>45652</v>
      </c>
      <c r="B165" t="s">
        <v>110</v>
      </c>
      <c r="C165" t="s">
        <v>24</v>
      </c>
      <c r="D165" t="s">
        <v>28</v>
      </c>
      <c r="E165">
        <v>206</v>
      </c>
      <c r="F165">
        <v>1800</v>
      </c>
      <c r="G165">
        <v>1900</v>
      </c>
      <c r="J165" t="s">
        <v>29</v>
      </c>
      <c r="K165" t="s">
        <v>16</v>
      </c>
      <c r="L165" t="s">
        <v>25</v>
      </c>
      <c r="M165" t="s">
        <v>36</v>
      </c>
      <c r="N165">
        <v>1</v>
      </c>
      <c r="R165" t="s">
        <v>13</v>
      </c>
      <c r="S165" t="s">
        <v>14</v>
      </c>
      <c r="T165">
        <v>442</v>
      </c>
      <c r="U165" t="str">
        <f>_xlfn.IFNA(_xlfn.IFS(E165&gt;Dash!$D$46, "Big", E165&lt;Dash!$D$49, "Small", E165&gt;Dash!$D$47, "Good"), "Norm")</f>
        <v>Norm</v>
      </c>
      <c r="V165" t="s">
        <v>13</v>
      </c>
      <c r="W165">
        <v>297</v>
      </c>
      <c r="X165" t="s">
        <v>28</v>
      </c>
    </row>
    <row r="166" spans="1:24" x14ac:dyDescent="0.25">
      <c r="A166" s="1"/>
    </row>
    <row r="167" spans="1:24" x14ac:dyDescent="0.25">
      <c r="A167" s="1">
        <v>45184</v>
      </c>
      <c r="B167" t="s">
        <v>26</v>
      </c>
      <c r="C167" t="s">
        <v>13</v>
      </c>
      <c r="D167" t="s">
        <v>43</v>
      </c>
      <c r="E167">
        <v>121.5</v>
      </c>
      <c r="F167">
        <v>0</v>
      </c>
      <c r="G167">
        <v>100</v>
      </c>
      <c r="J167" t="s">
        <v>29</v>
      </c>
      <c r="K167" t="s">
        <v>16</v>
      </c>
      <c r="L167" t="s">
        <v>17</v>
      </c>
      <c r="M167" t="s">
        <v>18</v>
      </c>
      <c r="N167">
        <v>10</v>
      </c>
      <c r="O167" t="s">
        <v>67</v>
      </c>
      <c r="P167">
        <v>1400</v>
      </c>
      <c r="Q167">
        <v>1500</v>
      </c>
      <c r="R167" t="s">
        <v>20</v>
      </c>
      <c r="S167" t="s">
        <v>46</v>
      </c>
      <c r="T167">
        <v>124</v>
      </c>
      <c r="U167" t="str">
        <f>_xlfn.IFNA(_xlfn.IFS(E167&gt;Dash!$D$46, "Big", E167&lt;Dash!$D$49, "Small", E167&gt;Dash!$D$47, "Good"), "Norm")</f>
        <v>Small</v>
      </c>
      <c r="V167" t="s">
        <v>33</v>
      </c>
      <c r="W167">
        <v>180.5</v>
      </c>
      <c r="X167" t="s">
        <v>28</v>
      </c>
    </row>
    <row r="168" spans="1:24" x14ac:dyDescent="0.25">
      <c r="A168" s="1">
        <v>45198</v>
      </c>
      <c r="B168" t="s">
        <v>26</v>
      </c>
      <c r="C168" t="s">
        <v>33</v>
      </c>
      <c r="D168" t="s">
        <v>43</v>
      </c>
      <c r="E168">
        <v>249.75</v>
      </c>
      <c r="F168">
        <v>300</v>
      </c>
      <c r="G168">
        <v>300</v>
      </c>
      <c r="J168" t="s">
        <v>30</v>
      </c>
      <c r="K168" t="s">
        <v>35</v>
      </c>
      <c r="L168" t="s">
        <v>17</v>
      </c>
      <c r="M168" t="s">
        <v>19</v>
      </c>
      <c r="N168">
        <v>6</v>
      </c>
      <c r="P168">
        <v>1400</v>
      </c>
      <c r="Q168">
        <v>1500</v>
      </c>
      <c r="R168" t="s">
        <v>33</v>
      </c>
      <c r="S168">
        <v>1</v>
      </c>
      <c r="T168">
        <v>220</v>
      </c>
      <c r="U168" t="str">
        <f>_xlfn.IFNA(_xlfn.IFS(E168&gt;Dash!$D$46, "Big", E168&lt;Dash!$D$49, "Small", E168&gt;Dash!$D$47, "Good"), "Norm")</f>
        <v>Norm</v>
      </c>
      <c r="V168" t="s">
        <v>33</v>
      </c>
      <c r="W168">
        <v>289.5</v>
      </c>
      <c r="X168" t="s">
        <v>28</v>
      </c>
    </row>
    <row r="169" spans="1:24" x14ac:dyDescent="0.25">
      <c r="A169" s="1">
        <v>45204</v>
      </c>
      <c r="B169" t="s">
        <v>36</v>
      </c>
      <c r="C169" t="s">
        <v>33</v>
      </c>
      <c r="D169" t="s">
        <v>43</v>
      </c>
      <c r="E169">
        <v>242.5</v>
      </c>
      <c r="F169">
        <v>800</v>
      </c>
      <c r="G169">
        <v>800</v>
      </c>
      <c r="J169" t="s">
        <v>27</v>
      </c>
      <c r="K169" t="s">
        <v>35</v>
      </c>
      <c r="L169" t="s">
        <v>25</v>
      </c>
      <c r="M169" t="s">
        <v>23</v>
      </c>
      <c r="N169">
        <v>9</v>
      </c>
      <c r="P169">
        <v>1100</v>
      </c>
      <c r="Q169">
        <v>1400</v>
      </c>
      <c r="R169" t="s">
        <v>33</v>
      </c>
      <c r="S169" t="s">
        <v>38</v>
      </c>
      <c r="T169">
        <v>500.25</v>
      </c>
      <c r="U169" t="str">
        <f>_xlfn.IFNA(_xlfn.IFS(E169&gt;Dash!$D$46, "Big", E169&lt;Dash!$D$49, "Small", E169&gt;Dash!$D$47, "Good"), "Norm")</f>
        <v>Norm</v>
      </c>
      <c r="V169" t="s">
        <v>20</v>
      </c>
      <c r="W169">
        <v>221.5</v>
      </c>
      <c r="X169" t="s">
        <v>46</v>
      </c>
    </row>
    <row r="170" spans="1:24" x14ac:dyDescent="0.25">
      <c r="A170" s="1">
        <v>45211</v>
      </c>
      <c r="B170" t="s">
        <v>36</v>
      </c>
      <c r="C170" t="s">
        <v>33</v>
      </c>
      <c r="D170" t="s">
        <v>43</v>
      </c>
      <c r="E170">
        <v>252.5</v>
      </c>
      <c r="F170">
        <v>2000</v>
      </c>
      <c r="G170">
        <v>2200</v>
      </c>
      <c r="J170" t="s">
        <v>29</v>
      </c>
      <c r="K170" t="s">
        <v>32</v>
      </c>
      <c r="L170" t="s">
        <v>17</v>
      </c>
      <c r="M170" t="s">
        <v>18</v>
      </c>
      <c r="N170">
        <v>8</v>
      </c>
      <c r="P170">
        <v>1400</v>
      </c>
      <c r="Q170">
        <v>1500</v>
      </c>
      <c r="R170" t="s">
        <v>33</v>
      </c>
      <c r="S170" t="s">
        <v>14</v>
      </c>
      <c r="T170">
        <v>304.5</v>
      </c>
      <c r="U170" t="str">
        <f>_xlfn.IFNA(_xlfn.IFS(E170&gt;Dash!$D$46, "Big", E170&lt;Dash!$D$49, "Small", E170&gt;Dash!$D$47, "Good"), "Norm")</f>
        <v>Norm</v>
      </c>
      <c r="V170" t="s">
        <v>33</v>
      </c>
      <c r="W170">
        <v>134.25</v>
      </c>
      <c r="X170" t="s">
        <v>28</v>
      </c>
    </row>
    <row r="171" spans="1:24" x14ac:dyDescent="0.25">
      <c r="A171" s="1">
        <v>45218</v>
      </c>
      <c r="B171" t="s">
        <v>36</v>
      </c>
      <c r="C171" t="s">
        <v>33</v>
      </c>
      <c r="D171" t="s">
        <v>43</v>
      </c>
      <c r="E171">
        <v>286</v>
      </c>
      <c r="F171">
        <v>300</v>
      </c>
      <c r="G171">
        <v>400</v>
      </c>
      <c r="J171" t="s">
        <v>15</v>
      </c>
      <c r="K171" t="s">
        <v>32</v>
      </c>
      <c r="L171" t="s">
        <v>42</v>
      </c>
      <c r="M171" t="s">
        <v>23</v>
      </c>
      <c r="N171">
        <v>5</v>
      </c>
      <c r="P171">
        <v>1200</v>
      </c>
      <c r="Q171">
        <v>1600</v>
      </c>
      <c r="R171" t="s">
        <v>33</v>
      </c>
      <c r="S171" t="s">
        <v>14</v>
      </c>
      <c r="T171">
        <v>234.25</v>
      </c>
      <c r="U171" t="str">
        <f>_xlfn.IFNA(_xlfn.IFS(E171&gt;Dash!$D$46, "Big", E171&lt;Dash!$D$49, "Small", E171&gt;Dash!$D$47, "Good"), "Norm")</f>
        <v>Good</v>
      </c>
      <c r="V171" t="s">
        <v>13</v>
      </c>
      <c r="W171">
        <v>244.5</v>
      </c>
      <c r="X171" t="s">
        <v>14</v>
      </c>
    </row>
    <row r="172" spans="1:24" x14ac:dyDescent="0.25">
      <c r="A172" s="1">
        <v>45236</v>
      </c>
      <c r="B172" t="s">
        <v>23</v>
      </c>
      <c r="C172" t="s">
        <v>33</v>
      </c>
      <c r="D172" t="s">
        <v>43</v>
      </c>
      <c r="E172">
        <v>119.5</v>
      </c>
      <c r="F172">
        <v>900</v>
      </c>
      <c r="G172">
        <v>900</v>
      </c>
      <c r="J172" t="s">
        <v>27</v>
      </c>
      <c r="K172" t="s">
        <v>35</v>
      </c>
      <c r="L172" t="s">
        <v>17</v>
      </c>
      <c r="M172" t="s">
        <v>19</v>
      </c>
      <c r="N172">
        <v>5</v>
      </c>
      <c r="P172">
        <v>1300</v>
      </c>
      <c r="Q172">
        <v>1500</v>
      </c>
      <c r="R172" t="s">
        <v>20</v>
      </c>
      <c r="S172" t="s">
        <v>28</v>
      </c>
      <c r="T172">
        <v>192.75</v>
      </c>
      <c r="U172" t="str">
        <f>_xlfn.IFNA(_xlfn.IFS(E172&gt;Dash!$D$46, "Big", E172&lt;Dash!$D$49, "Small", E172&gt;Dash!$D$47, "Good"), "Norm")</f>
        <v>Small</v>
      </c>
      <c r="V172" t="s">
        <v>13</v>
      </c>
      <c r="W172">
        <v>288.5</v>
      </c>
      <c r="X172" t="s">
        <v>28</v>
      </c>
    </row>
    <row r="173" spans="1:24" x14ac:dyDescent="0.25">
      <c r="A173" s="1">
        <v>45238</v>
      </c>
      <c r="B173" t="s">
        <v>18</v>
      </c>
      <c r="C173" t="s">
        <v>33</v>
      </c>
      <c r="D173" t="s">
        <v>43</v>
      </c>
      <c r="E173">
        <v>130.75</v>
      </c>
      <c r="F173">
        <v>900</v>
      </c>
      <c r="G173">
        <v>900</v>
      </c>
      <c r="J173" t="s">
        <v>27</v>
      </c>
      <c r="K173" t="s">
        <v>35</v>
      </c>
      <c r="L173" t="s">
        <v>17</v>
      </c>
      <c r="M173" t="s">
        <v>19</v>
      </c>
      <c r="N173">
        <v>5</v>
      </c>
      <c r="P173">
        <v>1200</v>
      </c>
      <c r="Q173">
        <v>1500</v>
      </c>
      <c r="R173" t="s">
        <v>33</v>
      </c>
      <c r="S173" t="s">
        <v>43</v>
      </c>
      <c r="T173">
        <v>217</v>
      </c>
      <c r="U173" t="str">
        <f>_xlfn.IFNA(_xlfn.IFS(E173&gt;Dash!$D$46, "Big", E173&lt;Dash!$D$49, "Small", E173&gt;Dash!$D$47, "Good"), "Norm")</f>
        <v>Small</v>
      </c>
      <c r="V173" t="s">
        <v>20</v>
      </c>
      <c r="W173">
        <v>192.75</v>
      </c>
      <c r="X173" t="s">
        <v>28</v>
      </c>
    </row>
    <row r="174" spans="1:24" x14ac:dyDescent="0.25">
      <c r="A174" s="1">
        <v>45239</v>
      </c>
      <c r="B174" t="s">
        <v>36</v>
      </c>
      <c r="C174" t="s">
        <v>33</v>
      </c>
      <c r="D174" t="s">
        <v>43</v>
      </c>
      <c r="E174">
        <v>217</v>
      </c>
      <c r="F174">
        <v>900</v>
      </c>
      <c r="G174">
        <v>1000</v>
      </c>
      <c r="J174" t="s">
        <v>27</v>
      </c>
      <c r="K174" t="s">
        <v>35</v>
      </c>
      <c r="L174" t="s">
        <v>25</v>
      </c>
      <c r="M174" t="s">
        <v>19</v>
      </c>
      <c r="N174">
        <v>5</v>
      </c>
      <c r="P174">
        <v>1100</v>
      </c>
      <c r="Q174">
        <v>1500</v>
      </c>
      <c r="R174" t="s">
        <v>20</v>
      </c>
      <c r="S174" t="s">
        <v>38</v>
      </c>
      <c r="T174">
        <v>339.25</v>
      </c>
      <c r="U174" t="str">
        <f>_xlfn.IFNA(_xlfn.IFS(E174&gt;Dash!$D$46, "Big", E174&lt;Dash!$D$49, "Small", E174&gt;Dash!$D$47, "Good"), "Norm")</f>
        <v>Norm</v>
      </c>
      <c r="V174" t="s">
        <v>33</v>
      </c>
      <c r="W174">
        <v>130.75</v>
      </c>
      <c r="X174" t="s">
        <v>43</v>
      </c>
    </row>
    <row r="175" spans="1:24" x14ac:dyDescent="0.25">
      <c r="A175" s="1">
        <v>45245</v>
      </c>
      <c r="B175" t="s">
        <v>18</v>
      </c>
      <c r="C175" t="s">
        <v>33</v>
      </c>
      <c r="D175" t="s">
        <v>43</v>
      </c>
      <c r="E175">
        <v>217</v>
      </c>
      <c r="F175">
        <v>2100</v>
      </c>
      <c r="G175">
        <v>200</v>
      </c>
      <c r="J175" t="s">
        <v>29</v>
      </c>
      <c r="K175" t="s">
        <v>35</v>
      </c>
      <c r="L175" t="s">
        <v>17</v>
      </c>
      <c r="M175" t="s">
        <v>19</v>
      </c>
      <c r="N175">
        <v>9</v>
      </c>
      <c r="P175">
        <v>1400</v>
      </c>
      <c r="Q175">
        <v>1600</v>
      </c>
      <c r="R175" t="s">
        <v>33</v>
      </c>
      <c r="S175" t="s">
        <v>46</v>
      </c>
      <c r="T175">
        <v>110</v>
      </c>
      <c r="U175" t="str">
        <f>_xlfn.IFNA(_xlfn.IFS(E175&gt;Dash!$D$46, "Big", E175&lt;Dash!$D$49, "Small", E175&gt;Dash!$D$47, "Good"), "Norm")</f>
        <v>Norm</v>
      </c>
      <c r="V175" t="s">
        <v>13</v>
      </c>
      <c r="W175">
        <v>366.75</v>
      </c>
      <c r="X175" t="s">
        <v>28</v>
      </c>
    </row>
    <row r="176" spans="1:24" x14ac:dyDescent="0.25">
      <c r="A176" s="1">
        <v>45247</v>
      </c>
      <c r="B176" t="s">
        <v>26</v>
      </c>
      <c r="C176" t="s">
        <v>33</v>
      </c>
      <c r="D176" t="s">
        <v>43</v>
      </c>
      <c r="E176">
        <v>115</v>
      </c>
      <c r="F176">
        <v>300</v>
      </c>
      <c r="G176">
        <v>300</v>
      </c>
      <c r="J176" t="s">
        <v>30</v>
      </c>
      <c r="K176" t="s">
        <v>25</v>
      </c>
      <c r="L176" t="s">
        <v>32</v>
      </c>
      <c r="M176" t="s">
        <v>19</v>
      </c>
      <c r="N176">
        <v>9</v>
      </c>
      <c r="O176" t="s">
        <v>61</v>
      </c>
      <c r="P176">
        <v>1400</v>
      </c>
      <c r="Q176">
        <v>1500</v>
      </c>
      <c r="R176" t="s">
        <v>13</v>
      </c>
      <c r="S176" t="s">
        <v>28</v>
      </c>
      <c r="T176">
        <v>229.5</v>
      </c>
      <c r="U176" t="str">
        <f>_xlfn.IFNA(_xlfn.IFS(E176&gt;Dash!$D$46, "Big", E176&lt;Dash!$D$49, "Small", E176&gt;Dash!$D$47, "Good"), "Norm")</f>
        <v>Small</v>
      </c>
      <c r="V176" t="s">
        <v>33</v>
      </c>
      <c r="W176">
        <v>110</v>
      </c>
      <c r="X176" t="s">
        <v>46</v>
      </c>
    </row>
    <row r="177" spans="1:24" x14ac:dyDescent="0.25">
      <c r="A177" s="1">
        <v>45259</v>
      </c>
      <c r="B177" t="s">
        <v>18</v>
      </c>
      <c r="C177" t="s">
        <v>33</v>
      </c>
      <c r="D177" t="s">
        <v>43</v>
      </c>
      <c r="E177">
        <v>195</v>
      </c>
      <c r="F177">
        <v>2000</v>
      </c>
      <c r="G177">
        <v>100</v>
      </c>
      <c r="J177" t="s">
        <v>29</v>
      </c>
      <c r="K177" t="s">
        <v>35</v>
      </c>
      <c r="L177" t="s">
        <v>17</v>
      </c>
      <c r="M177" t="s">
        <v>19</v>
      </c>
      <c r="N177">
        <v>8</v>
      </c>
      <c r="P177">
        <v>1300</v>
      </c>
      <c r="Q177">
        <v>1500</v>
      </c>
      <c r="R177" t="s">
        <v>33</v>
      </c>
      <c r="S177" t="s">
        <v>14</v>
      </c>
      <c r="T177">
        <v>242.5</v>
      </c>
      <c r="U177" t="str">
        <f>_xlfn.IFNA(_xlfn.IFS(E177&gt;Dash!$D$46, "Big", E177&lt;Dash!$D$49, "Small", E177&gt;Dash!$D$47, "Good"), "Norm")</f>
        <v>Norm</v>
      </c>
      <c r="V177" t="s">
        <v>33</v>
      </c>
      <c r="W177">
        <v>126</v>
      </c>
      <c r="X177">
        <v>1</v>
      </c>
    </row>
    <row r="178" spans="1:24" x14ac:dyDescent="0.25">
      <c r="A178" s="1">
        <v>45266</v>
      </c>
      <c r="B178" t="s">
        <v>18</v>
      </c>
      <c r="C178" t="s">
        <v>33</v>
      </c>
      <c r="D178" t="s">
        <v>43</v>
      </c>
      <c r="E178">
        <v>235.75</v>
      </c>
      <c r="F178">
        <v>1900</v>
      </c>
      <c r="G178">
        <v>300</v>
      </c>
      <c r="J178" t="s">
        <v>29</v>
      </c>
      <c r="K178" t="s">
        <v>35</v>
      </c>
      <c r="L178" t="s">
        <v>17</v>
      </c>
      <c r="M178" t="s">
        <v>19</v>
      </c>
      <c r="N178">
        <v>8</v>
      </c>
      <c r="P178">
        <v>900</v>
      </c>
      <c r="Q178">
        <v>1500</v>
      </c>
      <c r="R178" t="s">
        <v>20</v>
      </c>
      <c r="S178" t="s">
        <v>38</v>
      </c>
      <c r="T178">
        <v>221.5</v>
      </c>
      <c r="U178" t="str">
        <f>_xlfn.IFNA(_xlfn.IFS(E178&gt;Dash!$D$46, "Big", E178&lt;Dash!$D$49, "Small", E178&gt;Dash!$D$47, "Good"), "Norm")</f>
        <v>Norm</v>
      </c>
      <c r="V178" t="s">
        <v>41</v>
      </c>
      <c r="W178">
        <v>192</v>
      </c>
      <c r="X178">
        <v>1</v>
      </c>
    </row>
    <row r="179" spans="1:24" x14ac:dyDescent="0.25">
      <c r="A179" s="1">
        <v>45274</v>
      </c>
      <c r="B179" t="s">
        <v>36</v>
      </c>
      <c r="C179" t="s">
        <v>13</v>
      </c>
      <c r="D179" t="s">
        <v>43</v>
      </c>
      <c r="E179">
        <v>249.25</v>
      </c>
      <c r="F179">
        <v>1800</v>
      </c>
      <c r="G179">
        <v>1100</v>
      </c>
      <c r="J179" t="s">
        <v>29</v>
      </c>
      <c r="K179" t="s">
        <v>16</v>
      </c>
      <c r="L179" t="s">
        <v>17</v>
      </c>
      <c r="M179" t="s">
        <v>19</v>
      </c>
      <c r="N179">
        <v>15</v>
      </c>
      <c r="P179">
        <v>1300</v>
      </c>
      <c r="Q179">
        <v>1600</v>
      </c>
      <c r="R179" t="s">
        <v>24</v>
      </c>
      <c r="S179" t="s">
        <v>28</v>
      </c>
      <c r="T179">
        <v>130.5</v>
      </c>
      <c r="U179" t="str">
        <f>_xlfn.IFNA(_xlfn.IFS(E179&gt;Dash!$D$46, "Big", E179&lt;Dash!$D$49, "Small", E179&gt;Dash!$D$47, "Good"), "Norm")</f>
        <v>Norm</v>
      </c>
      <c r="V179" t="s">
        <v>33</v>
      </c>
      <c r="W179">
        <v>230.5</v>
      </c>
      <c r="X179" t="s">
        <v>28</v>
      </c>
    </row>
    <row r="180" spans="1:24" x14ac:dyDescent="0.25">
      <c r="A180" s="1">
        <v>45282</v>
      </c>
      <c r="B180" t="s">
        <v>26</v>
      </c>
      <c r="C180" t="s">
        <v>24</v>
      </c>
      <c r="D180" t="s">
        <v>43</v>
      </c>
      <c r="E180">
        <v>145.5</v>
      </c>
      <c r="F180">
        <v>800</v>
      </c>
      <c r="G180">
        <v>1600</v>
      </c>
      <c r="J180" t="s">
        <v>27</v>
      </c>
      <c r="K180" t="s">
        <v>31</v>
      </c>
      <c r="L180" t="s">
        <v>35</v>
      </c>
      <c r="M180" t="s">
        <v>18</v>
      </c>
      <c r="N180">
        <v>5</v>
      </c>
      <c r="O180" t="s">
        <v>67</v>
      </c>
      <c r="P180">
        <v>1300</v>
      </c>
      <c r="Q180">
        <v>1400</v>
      </c>
      <c r="R180" t="s">
        <v>13</v>
      </c>
      <c r="S180" t="s">
        <v>28</v>
      </c>
      <c r="T180">
        <v>114.25</v>
      </c>
      <c r="U180" t="str">
        <f>_xlfn.IFNA(_xlfn.IFS(E180&gt;Dash!$D$46, "Big", E180&lt;Dash!$D$49, "Small", E180&gt;Dash!$D$47, "Good"), "Norm")</f>
        <v>Small</v>
      </c>
      <c r="V180" t="s">
        <v>24</v>
      </c>
      <c r="W180">
        <v>155.25</v>
      </c>
      <c r="X180">
        <v>1</v>
      </c>
    </row>
    <row r="181" spans="1:24" x14ac:dyDescent="0.25">
      <c r="A181" s="1">
        <v>45288</v>
      </c>
      <c r="B181" t="s">
        <v>36</v>
      </c>
      <c r="C181" t="s">
        <v>33</v>
      </c>
      <c r="D181" t="s">
        <v>43</v>
      </c>
      <c r="E181">
        <v>87.5</v>
      </c>
      <c r="F181">
        <v>1900</v>
      </c>
      <c r="G181">
        <v>900</v>
      </c>
      <c r="J181" t="s">
        <v>29</v>
      </c>
      <c r="K181" t="s">
        <v>35</v>
      </c>
      <c r="L181" t="s">
        <v>17</v>
      </c>
      <c r="M181" t="s">
        <v>58</v>
      </c>
      <c r="N181">
        <v>0</v>
      </c>
      <c r="P181">
        <v>1300</v>
      </c>
      <c r="Q181">
        <v>1500</v>
      </c>
      <c r="R181" t="s">
        <v>41</v>
      </c>
      <c r="S181" t="s">
        <v>43</v>
      </c>
      <c r="T181">
        <v>169.25</v>
      </c>
      <c r="U181" t="str">
        <f>_xlfn.IFNA(_xlfn.IFS(E181&gt;Dash!$D$46, "Big", E181&lt;Dash!$D$49, "Small", E181&gt;Dash!$D$47, "Good"), "Norm")</f>
        <v>Small</v>
      </c>
      <c r="V181" t="s">
        <v>33</v>
      </c>
      <c r="W181">
        <v>72.25</v>
      </c>
      <c r="X181" t="s">
        <v>28</v>
      </c>
    </row>
    <row r="182" spans="1:24" x14ac:dyDescent="0.25">
      <c r="A182" s="1">
        <v>45289</v>
      </c>
      <c r="B182" t="s">
        <v>26</v>
      </c>
      <c r="C182" t="s">
        <v>41</v>
      </c>
      <c r="D182" t="s">
        <v>43</v>
      </c>
      <c r="E182">
        <v>169.25</v>
      </c>
      <c r="F182">
        <v>700</v>
      </c>
      <c r="G182">
        <v>700</v>
      </c>
      <c r="J182" t="s">
        <v>45</v>
      </c>
      <c r="K182" t="s">
        <v>22</v>
      </c>
      <c r="L182" t="s">
        <v>25</v>
      </c>
      <c r="M182" t="s">
        <v>58</v>
      </c>
      <c r="N182">
        <v>0</v>
      </c>
      <c r="P182">
        <v>1500</v>
      </c>
      <c r="Q182">
        <v>1500</v>
      </c>
      <c r="R182" t="s">
        <v>13</v>
      </c>
      <c r="S182" t="s">
        <v>14</v>
      </c>
      <c r="T182">
        <v>255.25</v>
      </c>
      <c r="U182" t="str">
        <f>_xlfn.IFNA(_xlfn.IFS(E182&gt;Dash!$D$46, "Big", E182&lt;Dash!$D$49, "Small", E182&gt;Dash!$D$47, "Good"), "Norm")</f>
        <v>Norm</v>
      </c>
      <c r="V182" t="s">
        <v>33</v>
      </c>
      <c r="W182">
        <v>87.5</v>
      </c>
      <c r="X182" t="s">
        <v>43</v>
      </c>
    </row>
    <row r="183" spans="1:24" x14ac:dyDescent="0.25">
      <c r="A183" s="1">
        <v>45313</v>
      </c>
      <c r="B183" t="s">
        <v>23</v>
      </c>
      <c r="C183" t="s">
        <v>33</v>
      </c>
      <c r="D183" t="s">
        <v>43</v>
      </c>
      <c r="E183">
        <v>151</v>
      </c>
      <c r="F183">
        <v>1800</v>
      </c>
      <c r="G183">
        <v>1000</v>
      </c>
      <c r="J183" t="s">
        <v>29</v>
      </c>
      <c r="K183" t="s">
        <v>35</v>
      </c>
      <c r="L183" t="s">
        <v>17</v>
      </c>
      <c r="M183" t="s">
        <v>18</v>
      </c>
      <c r="N183">
        <v>5</v>
      </c>
      <c r="R183" t="s">
        <v>33</v>
      </c>
      <c r="S183" t="s">
        <v>46</v>
      </c>
      <c r="T183">
        <v>129.5</v>
      </c>
      <c r="U183" t="str">
        <f>_xlfn.IFNA(_xlfn.IFS(E183&gt;Dash!$D$46, "Big", E183&lt;Dash!$D$49, "Small", E183&gt;Dash!$D$47, "Good"), "Norm")</f>
        <v>Small</v>
      </c>
      <c r="V183" t="s">
        <v>13</v>
      </c>
      <c r="W183">
        <v>281.75</v>
      </c>
      <c r="X183" t="s">
        <v>28</v>
      </c>
    </row>
    <row r="184" spans="1:24" x14ac:dyDescent="0.25">
      <c r="A184" s="1">
        <v>45328</v>
      </c>
      <c r="B184" t="s">
        <v>19</v>
      </c>
      <c r="C184" t="s">
        <v>20</v>
      </c>
      <c r="D184" t="s">
        <v>43</v>
      </c>
      <c r="E184">
        <v>207</v>
      </c>
      <c r="F184">
        <v>0</v>
      </c>
      <c r="G184">
        <v>100</v>
      </c>
      <c r="J184" t="s">
        <v>29</v>
      </c>
      <c r="K184" t="s">
        <v>22</v>
      </c>
      <c r="L184" t="s">
        <v>17</v>
      </c>
      <c r="M184" t="s">
        <v>23</v>
      </c>
      <c r="N184">
        <v>2</v>
      </c>
      <c r="R184" t="s">
        <v>24</v>
      </c>
      <c r="S184" t="s">
        <v>28</v>
      </c>
      <c r="T184">
        <v>170</v>
      </c>
      <c r="U184" t="str">
        <f>_xlfn.IFNA(_xlfn.IFS(E184&gt;Dash!$D$46, "Big", E184&lt;Dash!$D$49, "Small", E184&gt;Dash!$D$47, "Good"), "Norm")</f>
        <v>Norm</v>
      </c>
      <c r="V184" t="s">
        <v>33</v>
      </c>
      <c r="W184">
        <v>191.25</v>
      </c>
      <c r="X184">
        <v>1</v>
      </c>
    </row>
    <row r="185" spans="1:24" x14ac:dyDescent="0.25">
      <c r="A185" s="1">
        <v>45334</v>
      </c>
      <c r="B185" t="s">
        <v>23</v>
      </c>
      <c r="C185" t="s">
        <v>33</v>
      </c>
      <c r="D185" t="s">
        <v>43</v>
      </c>
      <c r="E185">
        <v>185.25</v>
      </c>
      <c r="F185">
        <v>1000</v>
      </c>
      <c r="G185">
        <v>1300</v>
      </c>
      <c r="J185" t="s">
        <v>27</v>
      </c>
      <c r="K185" t="s">
        <v>35</v>
      </c>
      <c r="L185" t="s">
        <v>42</v>
      </c>
      <c r="M185" t="s">
        <v>19</v>
      </c>
      <c r="N185">
        <v>10</v>
      </c>
      <c r="R185" t="s">
        <v>20</v>
      </c>
      <c r="S185" t="s">
        <v>14</v>
      </c>
      <c r="T185">
        <v>328</v>
      </c>
      <c r="U185" t="str">
        <f>_xlfn.IFNA(_xlfn.IFS(E185&gt;Dash!$D$46, "Big", E185&lt;Dash!$D$49, "Small", E185&gt;Dash!$D$47, "Good"), "Norm")</f>
        <v>Norm</v>
      </c>
      <c r="V185" t="s">
        <v>13</v>
      </c>
      <c r="W185">
        <v>196</v>
      </c>
      <c r="X185" t="s">
        <v>28</v>
      </c>
    </row>
    <row r="186" spans="1:24" x14ac:dyDescent="0.25">
      <c r="A186" s="1">
        <v>45345</v>
      </c>
      <c r="B186" t="s">
        <v>26</v>
      </c>
      <c r="C186" t="s">
        <v>33</v>
      </c>
      <c r="D186" t="s">
        <v>43</v>
      </c>
      <c r="E186">
        <v>198.75</v>
      </c>
      <c r="F186">
        <v>900</v>
      </c>
      <c r="G186">
        <v>900</v>
      </c>
      <c r="J186" t="s">
        <v>27</v>
      </c>
      <c r="K186" t="s">
        <v>35</v>
      </c>
      <c r="L186" t="s">
        <v>25</v>
      </c>
      <c r="M186" t="s">
        <v>18</v>
      </c>
      <c r="N186">
        <v>4</v>
      </c>
      <c r="R186" t="s">
        <v>24</v>
      </c>
      <c r="S186" t="s">
        <v>14</v>
      </c>
      <c r="T186">
        <v>93.5</v>
      </c>
      <c r="U186" t="str">
        <f>_xlfn.IFNA(_xlfn.IFS(E186&gt;Dash!$D$46, "Big", E186&lt;Dash!$D$49, "Small", E186&gt;Dash!$D$47, "Good"), "Norm")</f>
        <v>Norm</v>
      </c>
      <c r="V186" t="s">
        <v>13</v>
      </c>
      <c r="W186">
        <v>223</v>
      </c>
      <c r="X186" t="s">
        <v>28</v>
      </c>
    </row>
    <row r="187" spans="1:24" x14ac:dyDescent="0.25">
      <c r="A187" s="1">
        <v>45355</v>
      </c>
      <c r="B187" t="s">
        <v>23</v>
      </c>
      <c r="C187" t="s">
        <v>20</v>
      </c>
      <c r="D187" t="s">
        <v>43</v>
      </c>
      <c r="E187">
        <v>98.75</v>
      </c>
      <c r="F187">
        <v>400</v>
      </c>
      <c r="G187">
        <v>400</v>
      </c>
      <c r="J187" t="s">
        <v>30</v>
      </c>
      <c r="K187" t="s">
        <v>22</v>
      </c>
      <c r="L187" t="s">
        <v>42</v>
      </c>
      <c r="M187" t="s">
        <v>19</v>
      </c>
      <c r="N187">
        <v>9</v>
      </c>
      <c r="R187" t="s">
        <v>13</v>
      </c>
      <c r="S187" t="s">
        <v>14</v>
      </c>
      <c r="T187">
        <v>343.25</v>
      </c>
      <c r="U187" t="str">
        <f>_xlfn.IFNA(_xlfn.IFS(E187&gt;Dash!$D$46, "Big", E187&lt;Dash!$D$49, "Small", E187&gt;Dash!$D$47, "Good"), "Norm")</f>
        <v>Small</v>
      </c>
      <c r="V187" t="s">
        <v>20</v>
      </c>
      <c r="W187">
        <v>302.25</v>
      </c>
      <c r="X187" t="s">
        <v>28</v>
      </c>
    </row>
    <row r="188" spans="1:24" x14ac:dyDescent="0.25">
      <c r="A188" s="1">
        <v>45359</v>
      </c>
      <c r="B188" t="s">
        <v>26</v>
      </c>
      <c r="C188" t="s">
        <v>33</v>
      </c>
      <c r="D188" t="s">
        <v>43</v>
      </c>
      <c r="E188">
        <v>424</v>
      </c>
      <c r="F188">
        <v>800</v>
      </c>
      <c r="G188">
        <v>800</v>
      </c>
      <c r="J188" t="s">
        <v>27</v>
      </c>
      <c r="K188" t="s">
        <v>35</v>
      </c>
      <c r="L188" t="s">
        <v>17</v>
      </c>
      <c r="M188" t="s">
        <v>19</v>
      </c>
      <c r="N188">
        <v>9</v>
      </c>
      <c r="R188" t="s">
        <v>41</v>
      </c>
      <c r="S188">
        <v>1</v>
      </c>
      <c r="T188">
        <v>133.25</v>
      </c>
      <c r="U188" t="str">
        <f>_xlfn.IFNA(_xlfn.IFS(E188&gt;Dash!$D$46, "Big", E188&lt;Dash!$D$49, "Small", E188&gt;Dash!$D$47, "Good"), "Norm")</f>
        <v>Big</v>
      </c>
      <c r="V188" t="s">
        <v>20</v>
      </c>
      <c r="W188">
        <v>254.75</v>
      </c>
      <c r="X188" t="s">
        <v>38</v>
      </c>
    </row>
    <row r="189" spans="1:24" x14ac:dyDescent="0.25">
      <c r="A189" s="1">
        <v>45364</v>
      </c>
      <c r="B189" t="s">
        <v>18</v>
      </c>
      <c r="C189" t="s">
        <v>41</v>
      </c>
      <c r="D189" t="s">
        <v>43</v>
      </c>
      <c r="E189">
        <v>185.5</v>
      </c>
      <c r="F189">
        <v>300</v>
      </c>
      <c r="G189">
        <v>400</v>
      </c>
      <c r="J189" t="s">
        <v>30</v>
      </c>
      <c r="K189" t="s">
        <v>22</v>
      </c>
      <c r="L189" t="s">
        <v>25</v>
      </c>
      <c r="M189" t="s">
        <v>19</v>
      </c>
      <c r="N189">
        <v>12</v>
      </c>
      <c r="R189" t="s">
        <v>20</v>
      </c>
      <c r="S189" t="s">
        <v>14</v>
      </c>
      <c r="T189">
        <v>252.75</v>
      </c>
      <c r="U189" t="str">
        <f>_xlfn.IFNA(_xlfn.IFS(E189&gt;Dash!$D$46, "Big", E189&lt;Dash!$D$49, "Small", E189&gt;Dash!$D$47, "Good"), "Norm")</f>
        <v>Norm</v>
      </c>
      <c r="V189" t="s">
        <v>33</v>
      </c>
      <c r="W189">
        <v>317</v>
      </c>
      <c r="X189" t="s">
        <v>28</v>
      </c>
    </row>
    <row r="190" spans="1:24" x14ac:dyDescent="0.25">
      <c r="A190" s="1">
        <v>45369</v>
      </c>
      <c r="B190" t="s">
        <v>23</v>
      </c>
      <c r="C190" t="s">
        <v>24</v>
      </c>
      <c r="D190" t="s">
        <v>43</v>
      </c>
      <c r="E190">
        <v>162</v>
      </c>
      <c r="F190">
        <v>900</v>
      </c>
      <c r="G190">
        <v>1100</v>
      </c>
      <c r="J190" t="s">
        <v>27</v>
      </c>
      <c r="K190" t="s">
        <v>31</v>
      </c>
      <c r="L190" t="s">
        <v>35</v>
      </c>
      <c r="M190" t="s">
        <v>18</v>
      </c>
      <c r="N190">
        <v>8</v>
      </c>
      <c r="R190" t="s">
        <v>33</v>
      </c>
      <c r="S190" t="s">
        <v>46</v>
      </c>
      <c r="T190">
        <v>236</v>
      </c>
      <c r="U190" t="str">
        <f>_xlfn.IFNA(_xlfn.IFS(E190&gt;Dash!$D$46, "Big", E190&lt;Dash!$D$49, "Small", E190&gt;Dash!$D$47, "Good"), "Norm")</f>
        <v>Norm</v>
      </c>
      <c r="V190" t="s">
        <v>20</v>
      </c>
      <c r="W190">
        <v>277.25</v>
      </c>
      <c r="X190" t="s">
        <v>14</v>
      </c>
    </row>
    <row r="191" spans="1:24" x14ac:dyDescent="0.25">
      <c r="A191" s="1">
        <v>45377</v>
      </c>
      <c r="B191" t="s">
        <v>19</v>
      </c>
      <c r="C191" t="s">
        <v>20</v>
      </c>
      <c r="D191" t="s">
        <v>43</v>
      </c>
      <c r="E191">
        <v>177.5</v>
      </c>
      <c r="F191">
        <v>300</v>
      </c>
      <c r="G191">
        <v>300</v>
      </c>
      <c r="J191" t="s">
        <v>30</v>
      </c>
      <c r="K191" t="s">
        <v>22</v>
      </c>
      <c r="L191" t="s">
        <v>17</v>
      </c>
      <c r="M191" t="s">
        <v>19</v>
      </c>
      <c r="N191">
        <v>6</v>
      </c>
      <c r="R191" t="s">
        <v>33</v>
      </c>
      <c r="S191" t="s">
        <v>46</v>
      </c>
      <c r="T191">
        <v>193.25</v>
      </c>
      <c r="U191" t="str">
        <f>_xlfn.IFNA(_xlfn.IFS(E191&gt;Dash!$D$46, "Big", E191&lt;Dash!$D$49, "Small", E191&gt;Dash!$D$47, "Good"), "Norm")</f>
        <v>Norm</v>
      </c>
      <c r="V191" t="s">
        <v>24</v>
      </c>
      <c r="W191">
        <v>157</v>
      </c>
      <c r="X191" t="s">
        <v>46</v>
      </c>
    </row>
    <row r="192" spans="1:24" x14ac:dyDescent="0.25">
      <c r="A192" s="1">
        <v>45406</v>
      </c>
      <c r="B192" t="s">
        <v>18</v>
      </c>
      <c r="C192" t="s">
        <v>33</v>
      </c>
      <c r="D192" t="s">
        <v>43</v>
      </c>
      <c r="E192">
        <v>228.25</v>
      </c>
      <c r="F192">
        <v>1800</v>
      </c>
      <c r="G192">
        <v>1100</v>
      </c>
      <c r="J192" t="s">
        <v>29</v>
      </c>
      <c r="K192" t="s">
        <v>35</v>
      </c>
      <c r="L192" t="s">
        <v>42</v>
      </c>
      <c r="M192" t="s">
        <v>19</v>
      </c>
      <c r="N192">
        <v>7</v>
      </c>
      <c r="O192" t="s">
        <v>68</v>
      </c>
      <c r="R192" t="s">
        <v>33</v>
      </c>
      <c r="S192" t="s">
        <v>38</v>
      </c>
      <c r="T192">
        <v>296.75</v>
      </c>
      <c r="U192" t="str">
        <f>_xlfn.IFNA(_xlfn.IFS(E192&gt;Dash!$D$46, "Big", E192&lt;Dash!$D$49, "Small", E192&gt;Dash!$D$47, "Good"), "Norm")</f>
        <v>Norm</v>
      </c>
      <c r="V192" t="s">
        <v>13</v>
      </c>
      <c r="W192">
        <v>297.25</v>
      </c>
      <c r="X192" t="s">
        <v>28</v>
      </c>
    </row>
    <row r="193" spans="1:24" x14ac:dyDescent="0.25">
      <c r="A193" s="1">
        <v>45428</v>
      </c>
      <c r="B193" t="s">
        <v>36</v>
      </c>
      <c r="C193" t="s">
        <v>33</v>
      </c>
      <c r="D193" t="s">
        <v>43</v>
      </c>
      <c r="E193">
        <v>117</v>
      </c>
      <c r="F193">
        <v>1800</v>
      </c>
      <c r="G193">
        <v>1800</v>
      </c>
      <c r="J193" t="s">
        <v>29</v>
      </c>
      <c r="K193" t="s">
        <v>35</v>
      </c>
      <c r="L193" t="s">
        <v>42</v>
      </c>
      <c r="M193" t="s">
        <v>19</v>
      </c>
      <c r="N193">
        <v>10</v>
      </c>
      <c r="R193" t="s">
        <v>33</v>
      </c>
      <c r="S193" t="s">
        <v>14</v>
      </c>
      <c r="T193">
        <v>141.75</v>
      </c>
      <c r="U193" t="str">
        <f>_xlfn.IFNA(_xlfn.IFS(E193&gt;Dash!$D$46, "Big", E193&lt;Dash!$D$49, "Small", E193&gt;Dash!$D$47, "Good"), "Norm")</f>
        <v>Small</v>
      </c>
      <c r="V193" t="s">
        <v>20</v>
      </c>
      <c r="W193">
        <v>313.5</v>
      </c>
      <c r="X193" t="s">
        <v>28</v>
      </c>
    </row>
    <row r="194" spans="1:24" x14ac:dyDescent="0.25">
      <c r="A194" s="1">
        <v>45449</v>
      </c>
      <c r="B194" t="s">
        <v>36</v>
      </c>
      <c r="C194" t="s">
        <v>33</v>
      </c>
      <c r="D194" t="s">
        <v>43</v>
      </c>
      <c r="E194">
        <v>107.25</v>
      </c>
      <c r="F194">
        <v>1800</v>
      </c>
      <c r="G194">
        <v>2000</v>
      </c>
      <c r="J194" t="s">
        <v>29</v>
      </c>
      <c r="K194" t="s">
        <v>35</v>
      </c>
      <c r="L194" t="s">
        <v>17</v>
      </c>
      <c r="M194" t="s">
        <v>23</v>
      </c>
      <c r="N194">
        <v>9</v>
      </c>
      <c r="R194" t="s">
        <v>33</v>
      </c>
      <c r="S194" t="s">
        <v>48</v>
      </c>
      <c r="T194">
        <v>215</v>
      </c>
      <c r="U194" t="str">
        <f>_xlfn.IFNA(_xlfn.IFS(E194&gt;Dash!$D$46, "Big", E194&lt;Dash!$D$49, "Small", E194&gt;Dash!$D$47, "Good"), "Norm")</f>
        <v>Small</v>
      </c>
      <c r="V194" t="s">
        <v>13</v>
      </c>
      <c r="W194">
        <v>301.5</v>
      </c>
      <c r="X194" t="s">
        <v>28</v>
      </c>
    </row>
    <row r="195" spans="1:24" x14ac:dyDescent="0.25">
      <c r="A195" s="1">
        <v>45456</v>
      </c>
      <c r="B195" t="s">
        <v>36</v>
      </c>
      <c r="C195" t="s">
        <v>33</v>
      </c>
      <c r="D195" t="s">
        <v>43</v>
      </c>
      <c r="E195">
        <v>191</v>
      </c>
      <c r="F195">
        <v>2000</v>
      </c>
      <c r="G195">
        <v>500</v>
      </c>
      <c r="J195" t="s">
        <v>29</v>
      </c>
      <c r="K195" t="s">
        <v>35</v>
      </c>
      <c r="L195" t="s">
        <v>17</v>
      </c>
      <c r="M195" t="s">
        <v>18</v>
      </c>
      <c r="N195">
        <v>11</v>
      </c>
      <c r="R195" t="s">
        <v>20</v>
      </c>
      <c r="S195" t="s">
        <v>28</v>
      </c>
      <c r="T195">
        <v>159.25</v>
      </c>
      <c r="U195" t="str">
        <f>_xlfn.IFNA(_xlfn.IFS(E195&gt;Dash!$D$46, "Big", E195&lt;Dash!$D$49, "Small", E195&gt;Dash!$D$47, "Good"), "Norm")</f>
        <v>Norm</v>
      </c>
      <c r="V195" t="s">
        <v>13</v>
      </c>
      <c r="W195">
        <v>326</v>
      </c>
      <c r="X195" t="s">
        <v>28</v>
      </c>
    </row>
    <row r="196" spans="1:24" x14ac:dyDescent="0.25">
      <c r="A196" s="1">
        <v>45469</v>
      </c>
      <c r="B196" t="s">
        <v>18</v>
      </c>
      <c r="C196" t="s">
        <v>41</v>
      </c>
      <c r="D196" t="s">
        <v>43</v>
      </c>
      <c r="E196">
        <v>127</v>
      </c>
      <c r="F196">
        <v>1800</v>
      </c>
      <c r="G196">
        <v>1800</v>
      </c>
      <c r="J196" t="s">
        <v>29</v>
      </c>
      <c r="K196" t="s">
        <v>22</v>
      </c>
      <c r="L196" t="s">
        <v>25</v>
      </c>
      <c r="M196" t="s">
        <v>19</v>
      </c>
      <c r="N196">
        <v>6</v>
      </c>
      <c r="R196" t="s">
        <v>24</v>
      </c>
      <c r="S196" t="s">
        <v>38</v>
      </c>
      <c r="T196">
        <v>163.75</v>
      </c>
      <c r="U196" t="str">
        <f>_xlfn.IFNA(_xlfn.IFS(E196&gt;Dash!$D$46, "Big", E196&lt;Dash!$D$49, "Small", E196&gt;Dash!$D$47, "Good"), "Norm")</f>
        <v>Small</v>
      </c>
      <c r="V196" t="s">
        <v>20</v>
      </c>
      <c r="W196">
        <v>189</v>
      </c>
      <c r="X196" t="s">
        <v>46</v>
      </c>
    </row>
    <row r="197" spans="1:24" x14ac:dyDescent="0.25">
      <c r="A197" s="1">
        <v>45471</v>
      </c>
      <c r="B197" t="s">
        <v>26</v>
      </c>
      <c r="C197" t="s">
        <v>33</v>
      </c>
      <c r="D197" t="s">
        <v>43</v>
      </c>
      <c r="E197">
        <v>367</v>
      </c>
      <c r="F197">
        <v>2100</v>
      </c>
      <c r="G197">
        <v>0</v>
      </c>
      <c r="J197" t="s">
        <v>29</v>
      </c>
      <c r="K197" t="s">
        <v>35</v>
      </c>
      <c r="L197" t="s">
        <v>17</v>
      </c>
      <c r="M197" t="s">
        <v>19</v>
      </c>
      <c r="N197">
        <v>6</v>
      </c>
      <c r="R197" t="s">
        <v>33</v>
      </c>
      <c r="S197" t="s">
        <v>46</v>
      </c>
      <c r="T197">
        <v>262.25</v>
      </c>
      <c r="U197" t="str">
        <f>_xlfn.IFNA(_xlfn.IFS(E197&gt;Dash!$D$46, "Big", E197&lt;Dash!$D$49, "Small", E197&gt;Dash!$D$47, "Good"), "Norm")</f>
        <v>Good</v>
      </c>
      <c r="V197" t="s">
        <v>24</v>
      </c>
      <c r="W197">
        <v>163.75</v>
      </c>
      <c r="X197" t="s">
        <v>38</v>
      </c>
    </row>
    <row r="198" spans="1:24" x14ac:dyDescent="0.25">
      <c r="A198" s="1">
        <v>45482</v>
      </c>
      <c r="B198" t="s">
        <v>19</v>
      </c>
      <c r="C198" t="s">
        <v>33</v>
      </c>
      <c r="D198" t="s">
        <v>43</v>
      </c>
      <c r="E198">
        <v>156</v>
      </c>
      <c r="F198">
        <v>1800</v>
      </c>
      <c r="G198">
        <v>1800</v>
      </c>
      <c r="J198" t="s">
        <v>29</v>
      </c>
      <c r="K198" t="s">
        <v>35</v>
      </c>
      <c r="L198" t="s">
        <v>17</v>
      </c>
      <c r="M198" t="s">
        <v>19</v>
      </c>
      <c r="N198">
        <v>9</v>
      </c>
      <c r="R198" t="s">
        <v>13</v>
      </c>
      <c r="S198" t="s">
        <v>28</v>
      </c>
      <c r="T198">
        <v>213.75</v>
      </c>
      <c r="U198" t="str">
        <f>_xlfn.IFNA(_xlfn.IFS(E198&gt;Dash!$D$46, "Big", E198&lt;Dash!$D$49, "Small", E198&gt;Dash!$D$47, "Good"), "Norm")</f>
        <v>Small</v>
      </c>
      <c r="V198" t="s">
        <v>13</v>
      </c>
      <c r="W198">
        <v>100</v>
      </c>
      <c r="X198" t="s">
        <v>28</v>
      </c>
    </row>
    <row r="199" spans="1:24" x14ac:dyDescent="0.25">
      <c r="A199" s="1">
        <v>45488</v>
      </c>
      <c r="B199" t="s">
        <v>23</v>
      </c>
      <c r="C199" t="s">
        <v>33</v>
      </c>
      <c r="D199" t="s">
        <v>43</v>
      </c>
      <c r="E199">
        <v>290.75</v>
      </c>
      <c r="F199">
        <v>1100</v>
      </c>
      <c r="G199">
        <v>1100</v>
      </c>
      <c r="J199" t="s">
        <v>27</v>
      </c>
      <c r="K199" t="s">
        <v>35</v>
      </c>
      <c r="L199" t="s">
        <v>17</v>
      </c>
      <c r="M199" t="s">
        <v>23</v>
      </c>
      <c r="N199">
        <v>5</v>
      </c>
      <c r="R199" t="s">
        <v>33</v>
      </c>
      <c r="S199" t="s">
        <v>46</v>
      </c>
      <c r="T199">
        <v>220</v>
      </c>
      <c r="U199" t="str">
        <f>_xlfn.IFNA(_xlfn.IFS(E199&gt;Dash!$D$46, "Big", E199&lt;Dash!$D$49, "Small", E199&gt;Dash!$D$47, "Good"), "Norm")</f>
        <v>Good</v>
      </c>
      <c r="V199" t="s">
        <v>33</v>
      </c>
      <c r="W199">
        <v>406</v>
      </c>
      <c r="X199" t="s">
        <v>46</v>
      </c>
    </row>
    <row r="200" spans="1:24" x14ac:dyDescent="0.25">
      <c r="A200" s="1">
        <v>45496</v>
      </c>
      <c r="B200" t="s">
        <v>19</v>
      </c>
      <c r="C200" t="s">
        <v>41</v>
      </c>
      <c r="D200" t="s">
        <v>43</v>
      </c>
      <c r="E200">
        <v>180.75</v>
      </c>
      <c r="F200">
        <v>1000</v>
      </c>
      <c r="G200">
        <v>1000</v>
      </c>
      <c r="J200" t="s">
        <v>27</v>
      </c>
      <c r="K200" t="s">
        <v>39</v>
      </c>
      <c r="L200" t="s">
        <v>35</v>
      </c>
      <c r="M200" t="s">
        <v>18</v>
      </c>
      <c r="N200">
        <v>5</v>
      </c>
      <c r="O200" t="s">
        <v>71</v>
      </c>
      <c r="R200" t="s">
        <v>13</v>
      </c>
      <c r="S200" t="s">
        <v>47</v>
      </c>
      <c r="T200">
        <v>536.25</v>
      </c>
      <c r="U200" t="str">
        <f>_xlfn.IFNA(_xlfn.IFS(E200&gt;Dash!$D$46, "Big", E200&lt;Dash!$D$49, "Small", E200&gt;Dash!$D$47, "Good"), "Norm")</f>
        <v>Norm</v>
      </c>
      <c r="V200" t="s">
        <v>13</v>
      </c>
      <c r="W200">
        <v>235</v>
      </c>
      <c r="X200" t="s">
        <v>28</v>
      </c>
    </row>
    <row r="201" spans="1:24" x14ac:dyDescent="0.25">
      <c r="A201" s="1">
        <v>45502</v>
      </c>
      <c r="B201" t="s">
        <v>23</v>
      </c>
      <c r="C201" t="s">
        <v>33</v>
      </c>
      <c r="D201" t="s">
        <v>43</v>
      </c>
      <c r="E201">
        <v>264</v>
      </c>
      <c r="F201">
        <v>2000</v>
      </c>
      <c r="G201">
        <v>2100</v>
      </c>
      <c r="J201" t="s">
        <v>29</v>
      </c>
      <c r="K201" t="s">
        <v>35</v>
      </c>
      <c r="L201" t="s">
        <v>25</v>
      </c>
      <c r="M201" t="s">
        <v>19</v>
      </c>
      <c r="N201">
        <v>13</v>
      </c>
      <c r="R201" t="s">
        <v>33</v>
      </c>
      <c r="S201" t="s">
        <v>14</v>
      </c>
      <c r="T201">
        <v>516.75</v>
      </c>
      <c r="U201" t="str">
        <f>_xlfn.IFNA(_xlfn.IFS(E201&gt;Dash!$D$46, "Big", E201&lt;Dash!$D$49, "Small", E201&gt;Dash!$D$47, "Good"), "Norm")</f>
        <v>Good</v>
      </c>
      <c r="V201" t="s">
        <v>13</v>
      </c>
      <c r="W201">
        <v>257.5</v>
      </c>
      <c r="X201">
        <v>1</v>
      </c>
    </row>
    <row r="202" spans="1:24" x14ac:dyDescent="0.25">
      <c r="A202" s="1">
        <v>45510</v>
      </c>
      <c r="B202" t="s">
        <v>19</v>
      </c>
      <c r="C202" t="s">
        <v>33</v>
      </c>
      <c r="D202" t="s">
        <v>43</v>
      </c>
      <c r="E202">
        <v>517.25</v>
      </c>
      <c r="F202">
        <v>2100</v>
      </c>
      <c r="G202">
        <v>2100</v>
      </c>
      <c r="J202" t="s">
        <v>29</v>
      </c>
      <c r="K202" t="s">
        <v>25</v>
      </c>
      <c r="L202" t="s">
        <v>32</v>
      </c>
      <c r="M202" t="s">
        <v>23</v>
      </c>
      <c r="N202">
        <v>2</v>
      </c>
      <c r="R202" t="s">
        <v>33</v>
      </c>
      <c r="S202" t="s">
        <v>48</v>
      </c>
      <c r="T202">
        <v>606.75</v>
      </c>
      <c r="U202" t="str">
        <f>_xlfn.IFNA(_xlfn.IFS(E202&gt;Dash!$D$46, "Big", E202&lt;Dash!$D$49, "Small", E202&gt;Dash!$D$47, "Good"), "Norm")</f>
        <v>Big</v>
      </c>
      <c r="V202">
        <v>0</v>
      </c>
      <c r="W202">
        <v>926.5</v>
      </c>
      <c r="X202" t="s">
        <v>47</v>
      </c>
    </row>
    <row r="203" spans="1:24" x14ac:dyDescent="0.25">
      <c r="A203" s="1">
        <v>45524</v>
      </c>
      <c r="B203" t="s">
        <v>19</v>
      </c>
      <c r="C203" t="s">
        <v>41</v>
      </c>
      <c r="D203" t="s">
        <v>43</v>
      </c>
      <c r="E203">
        <v>182</v>
      </c>
      <c r="F203">
        <v>1800</v>
      </c>
      <c r="G203">
        <v>1800</v>
      </c>
      <c r="J203" t="s">
        <v>29</v>
      </c>
      <c r="K203" t="s">
        <v>22</v>
      </c>
      <c r="L203" t="s">
        <v>25</v>
      </c>
      <c r="M203" t="s">
        <v>18</v>
      </c>
      <c r="N203">
        <v>6</v>
      </c>
      <c r="R203" t="s">
        <v>33</v>
      </c>
      <c r="S203" t="s">
        <v>28</v>
      </c>
      <c r="T203">
        <v>210.25</v>
      </c>
      <c r="U203" t="str">
        <f>_xlfn.IFNA(_xlfn.IFS(E203&gt;Dash!$D$46, "Big", E203&lt;Dash!$D$49, "Small", E203&gt;Dash!$D$47, "Good"), "Norm")</f>
        <v>Norm</v>
      </c>
      <c r="V203" t="s">
        <v>20</v>
      </c>
      <c r="W203">
        <v>332.25</v>
      </c>
      <c r="X203" t="s">
        <v>28</v>
      </c>
    </row>
    <row r="204" spans="1:24" x14ac:dyDescent="0.25">
      <c r="A204" s="1">
        <v>45540</v>
      </c>
      <c r="B204" t="s">
        <v>36</v>
      </c>
      <c r="C204" t="s">
        <v>33</v>
      </c>
      <c r="D204" t="s">
        <v>43</v>
      </c>
      <c r="E204">
        <v>323.25</v>
      </c>
      <c r="F204">
        <v>1000</v>
      </c>
      <c r="G204">
        <v>1000</v>
      </c>
      <c r="J204" t="s">
        <v>27</v>
      </c>
      <c r="K204" t="s">
        <v>25</v>
      </c>
      <c r="L204" t="s">
        <v>35</v>
      </c>
      <c r="M204" t="s">
        <v>19</v>
      </c>
      <c r="N204">
        <v>9</v>
      </c>
      <c r="R204" t="s">
        <v>33</v>
      </c>
      <c r="S204" t="s">
        <v>14</v>
      </c>
      <c r="T204">
        <v>542</v>
      </c>
      <c r="U204" t="str">
        <f>_xlfn.IFNA(_xlfn.IFS(E204&gt;Dash!$D$46, "Big", E204&lt;Dash!$D$49, "Small", E204&gt;Dash!$D$47, "Good"), "Norm")</f>
        <v>Good</v>
      </c>
      <c r="V204" t="s">
        <v>24</v>
      </c>
      <c r="W204">
        <v>276.5</v>
      </c>
      <c r="X204" t="s">
        <v>46</v>
      </c>
    </row>
    <row r="205" spans="1:24" x14ac:dyDescent="0.25">
      <c r="A205" s="1">
        <v>45560</v>
      </c>
      <c r="B205" t="s">
        <v>18</v>
      </c>
      <c r="C205" t="s">
        <v>41</v>
      </c>
      <c r="D205" t="s">
        <v>43</v>
      </c>
      <c r="E205">
        <v>146</v>
      </c>
      <c r="F205">
        <v>900</v>
      </c>
      <c r="G205">
        <v>1100</v>
      </c>
      <c r="J205" t="s">
        <v>27</v>
      </c>
      <c r="K205" t="s">
        <v>39</v>
      </c>
      <c r="L205" t="s">
        <v>35</v>
      </c>
      <c r="M205" t="s">
        <v>23</v>
      </c>
      <c r="N205">
        <v>7</v>
      </c>
      <c r="R205" t="s">
        <v>33</v>
      </c>
      <c r="S205" t="s">
        <v>28</v>
      </c>
      <c r="T205">
        <v>350</v>
      </c>
      <c r="U205" t="str">
        <f>_xlfn.IFNA(_xlfn.IFS(E205&gt;Dash!$D$46, "Big", E205&lt;Dash!$D$49, "Small", E205&gt;Dash!$D$47, "Good"), "Norm")</f>
        <v>Small</v>
      </c>
      <c r="V205" t="s">
        <v>33</v>
      </c>
      <c r="W205">
        <v>261.75</v>
      </c>
      <c r="X205" t="s">
        <v>28</v>
      </c>
    </row>
    <row r="206" spans="1:24" x14ac:dyDescent="0.25">
      <c r="A206" s="1">
        <v>45568</v>
      </c>
      <c r="B206" t="s">
        <v>36</v>
      </c>
      <c r="C206" t="s">
        <v>41</v>
      </c>
      <c r="D206" t="s">
        <v>43</v>
      </c>
      <c r="E206">
        <v>234.75</v>
      </c>
      <c r="F206">
        <v>1000</v>
      </c>
      <c r="G206">
        <v>1000</v>
      </c>
      <c r="J206" t="s">
        <v>27</v>
      </c>
      <c r="K206" t="s">
        <v>39</v>
      </c>
      <c r="L206" t="s">
        <v>35</v>
      </c>
      <c r="M206" t="s">
        <v>23</v>
      </c>
      <c r="N206">
        <v>9</v>
      </c>
      <c r="R206" t="s">
        <v>24</v>
      </c>
      <c r="S206" t="s">
        <v>28</v>
      </c>
      <c r="T206">
        <v>250.5</v>
      </c>
      <c r="U206" t="str">
        <f>_xlfn.IFNA(_xlfn.IFS(E206&gt;Dash!$D$46, "Big", E206&lt;Dash!$D$49, "Small", E206&gt;Dash!$D$47, "Good"), "Norm")</f>
        <v>Norm</v>
      </c>
      <c r="V206" t="s">
        <v>33</v>
      </c>
      <c r="W206">
        <v>256.75</v>
      </c>
      <c r="X206">
        <v>1</v>
      </c>
    </row>
    <row r="207" spans="1:24" x14ac:dyDescent="0.25">
      <c r="A207" s="1">
        <v>45572</v>
      </c>
      <c r="B207" t="s">
        <v>23</v>
      </c>
      <c r="C207" t="s">
        <v>13</v>
      </c>
      <c r="D207" t="s">
        <v>43</v>
      </c>
      <c r="E207">
        <v>239.25</v>
      </c>
      <c r="F207">
        <v>1800</v>
      </c>
      <c r="G207">
        <v>1800</v>
      </c>
      <c r="J207" t="s">
        <v>29</v>
      </c>
      <c r="K207" t="s">
        <v>16</v>
      </c>
      <c r="L207" t="s">
        <v>17</v>
      </c>
      <c r="M207" t="s">
        <v>18</v>
      </c>
      <c r="N207">
        <v>7</v>
      </c>
      <c r="R207" t="s">
        <v>13</v>
      </c>
      <c r="S207" t="s">
        <v>38</v>
      </c>
      <c r="T207">
        <v>273.25</v>
      </c>
      <c r="U207" t="str">
        <f>_xlfn.IFNA(_xlfn.IFS(E207&gt;Dash!$D$46, "Big", E207&lt;Dash!$D$49, "Small", E207&gt;Dash!$D$47, "Good"), "Norm")</f>
        <v>Norm</v>
      </c>
      <c r="V207" t="s">
        <v>24</v>
      </c>
      <c r="W207">
        <v>250.5</v>
      </c>
      <c r="X207" t="s">
        <v>28</v>
      </c>
    </row>
    <row r="208" spans="1:24" x14ac:dyDescent="0.25">
      <c r="A208" s="1">
        <v>45575</v>
      </c>
      <c r="B208" t="s">
        <v>36</v>
      </c>
      <c r="C208" t="s">
        <v>33</v>
      </c>
      <c r="D208" t="s">
        <v>43</v>
      </c>
      <c r="E208">
        <v>206.75</v>
      </c>
      <c r="F208">
        <v>1200</v>
      </c>
      <c r="G208">
        <v>1200</v>
      </c>
      <c r="J208" t="s">
        <v>27</v>
      </c>
      <c r="K208" t="s">
        <v>25</v>
      </c>
      <c r="L208" t="s">
        <v>35</v>
      </c>
      <c r="M208" t="s">
        <v>18</v>
      </c>
      <c r="N208">
        <v>7</v>
      </c>
      <c r="R208" t="s">
        <v>33</v>
      </c>
      <c r="S208">
        <v>1</v>
      </c>
      <c r="T208">
        <v>179.5</v>
      </c>
      <c r="U208" t="str">
        <f>_xlfn.IFNA(_xlfn.IFS(E208&gt;Dash!$D$46, "Big", E208&lt;Dash!$D$49, "Small", E208&gt;Dash!$D$47, "Good"), "Norm")</f>
        <v>Norm</v>
      </c>
      <c r="V208" t="s">
        <v>20</v>
      </c>
      <c r="W208">
        <v>244.25</v>
      </c>
      <c r="X208" t="s">
        <v>28</v>
      </c>
    </row>
    <row r="209" spans="1:24" x14ac:dyDescent="0.25">
      <c r="A209" s="1">
        <v>45609</v>
      </c>
      <c r="B209" t="s">
        <v>18</v>
      </c>
      <c r="C209" t="s">
        <v>33</v>
      </c>
      <c r="D209" t="s">
        <v>43</v>
      </c>
      <c r="E209">
        <v>212</v>
      </c>
      <c r="F209">
        <v>1300</v>
      </c>
      <c r="G209">
        <v>1400</v>
      </c>
      <c r="J209" t="s">
        <v>49</v>
      </c>
      <c r="K209" t="s">
        <v>25</v>
      </c>
      <c r="L209" t="s">
        <v>32</v>
      </c>
      <c r="M209" t="s">
        <v>18</v>
      </c>
      <c r="N209">
        <v>9</v>
      </c>
      <c r="R209" t="s">
        <v>20</v>
      </c>
      <c r="S209" t="s">
        <v>48</v>
      </c>
      <c r="T209">
        <v>205.5</v>
      </c>
      <c r="U209" t="str">
        <f>_xlfn.IFNA(_xlfn.IFS(E209&gt;Dash!$D$46, "Big", E209&lt;Dash!$D$49, "Small", E209&gt;Dash!$D$47, "Good"), "Norm")</f>
        <v>Norm</v>
      </c>
      <c r="V209" t="s">
        <v>33</v>
      </c>
      <c r="W209">
        <v>197</v>
      </c>
      <c r="X209" t="s">
        <v>14</v>
      </c>
    </row>
    <row r="210" spans="1:24" x14ac:dyDescent="0.25">
      <c r="A210" s="1">
        <v>45616</v>
      </c>
      <c r="B210" t="s">
        <v>18</v>
      </c>
      <c r="C210" t="s">
        <v>41</v>
      </c>
      <c r="D210" t="s">
        <v>43</v>
      </c>
      <c r="E210">
        <v>353</v>
      </c>
      <c r="F210">
        <v>1900</v>
      </c>
      <c r="G210">
        <v>2000</v>
      </c>
      <c r="J210" t="s">
        <v>29</v>
      </c>
      <c r="K210" t="s">
        <v>22</v>
      </c>
      <c r="L210" t="s">
        <v>25</v>
      </c>
      <c r="M210" t="s">
        <v>36</v>
      </c>
      <c r="N210">
        <v>3</v>
      </c>
      <c r="O210" t="s">
        <v>66</v>
      </c>
      <c r="R210" t="s">
        <v>33</v>
      </c>
      <c r="S210" t="s">
        <v>28</v>
      </c>
      <c r="T210">
        <v>391.5</v>
      </c>
      <c r="U210" t="str">
        <f>_xlfn.IFNA(_xlfn.IFS(E210&gt;Dash!$D$46, "Big", E210&lt;Dash!$D$49, "Small", E210&gt;Dash!$D$47, "Good"), "Norm")</f>
        <v>Good</v>
      </c>
      <c r="V210" t="s">
        <v>33</v>
      </c>
      <c r="W210">
        <v>410</v>
      </c>
      <c r="X210" t="s">
        <v>38</v>
      </c>
    </row>
    <row r="211" spans="1:24" x14ac:dyDescent="0.25">
      <c r="A211" s="1">
        <v>45621</v>
      </c>
      <c r="B211" t="s">
        <v>23</v>
      </c>
      <c r="C211" t="s">
        <v>33</v>
      </c>
      <c r="D211" t="s">
        <v>43</v>
      </c>
      <c r="E211">
        <v>300.75</v>
      </c>
      <c r="F211">
        <v>1800</v>
      </c>
      <c r="G211">
        <v>1000</v>
      </c>
      <c r="J211" t="s">
        <v>29</v>
      </c>
      <c r="K211" t="s">
        <v>35</v>
      </c>
      <c r="L211" t="s">
        <v>17</v>
      </c>
      <c r="M211" t="s">
        <v>19</v>
      </c>
      <c r="N211">
        <v>5</v>
      </c>
      <c r="R211" t="s">
        <v>24</v>
      </c>
      <c r="S211" t="s">
        <v>46</v>
      </c>
      <c r="T211">
        <v>121</v>
      </c>
      <c r="U211" t="str">
        <f>_xlfn.IFNA(_xlfn.IFS(E211&gt;Dash!$D$46, "Big", E211&lt;Dash!$D$49, "Small", E211&gt;Dash!$D$47, "Good"), "Norm")</f>
        <v>Good</v>
      </c>
      <c r="V211" t="s">
        <v>20</v>
      </c>
      <c r="W211">
        <v>157.75</v>
      </c>
      <c r="X211">
        <v>1</v>
      </c>
    </row>
    <row r="212" spans="1:24" x14ac:dyDescent="0.25">
      <c r="A212" s="1">
        <v>45631</v>
      </c>
      <c r="B212" t="s">
        <v>36</v>
      </c>
      <c r="C212" t="s">
        <v>33</v>
      </c>
      <c r="D212" t="s">
        <v>43</v>
      </c>
      <c r="E212">
        <v>108.25</v>
      </c>
      <c r="F212">
        <v>900</v>
      </c>
      <c r="G212">
        <v>900</v>
      </c>
      <c r="J212" t="s">
        <v>27</v>
      </c>
      <c r="K212" t="s">
        <v>32</v>
      </c>
      <c r="L212" t="s">
        <v>42</v>
      </c>
      <c r="M212" t="s">
        <v>23</v>
      </c>
      <c r="N212">
        <v>9</v>
      </c>
      <c r="R212" t="s">
        <v>13</v>
      </c>
      <c r="S212" t="s">
        <v>38</v>
      </c>
      <c r="T212">
        <v>229</v>
      </c>
      <c r="U212" t="str">
        <f>_xlfn.IFNA(_xlfn.IFS(E212&gt;Dash!$D$46, "Big", E212&lt;Dash!$D$49, "Small", E212&gt;Dash!$D$47, "Good"), "Norm")</f>
        <v>Small</v>
      </c>
      <c r="V212" t="s">
        <v>13</v>
      </c>
      <c r="W212">
        <v>160.25</v>
      </c>
      <c r="X212" t="s">
        <v>28</v>
      </c>
    </row>
    <row r="213" spans="1:24" x14ac:dyDescent="0.25">
      <c r="A213" s="1">
        <v>45635</v>
      </c>
      <c r="B213" t="s">
        <v>23</v>
      </c>
      <c r="C213" t="s">
        <v>41</v>
      </c>
      <c r="D213" t="s">
        <v>43</v>
      </c>
      <c r="E213">
        <v>212.75</v>
      </c>
      <c r="F213">
        <v>1800</v>
      </c>
      <c r="G213">
        <v>1800</v>
      </c>
      <c r="J213" t="s">
        <v>29</v>
      </c>
      <c r="K213" t="s">
        <v>22</v>
      </c>
      <c r="L213" t="s">
        <v>25</v>
      </c>
      <c r="M213" t="s">
        <v>18</v>
      </c>
      <c r="N213">
        <v>6</v>
      </c>
      <c r="R213" t="s">
        <v>33</v>
      </c>
      <c r="S213" t="s">
        <v>14</v>
      </c>
      <c r="T213">
        <v>254</v>
      </c>
      <c r="U213" t="str">
        <f>_xlfn.IFNA(_xlfn.IFS(E213&gt;Dash!$D$46, "Big", E213&lt;Dash!$D$49, "Small", E213&gt;Dash!$D$47, "Good"), "Norm")</f>
        <v>Norm</v>
      </c>
      <c r="V213" t="s">
        <v>13</v>
      </c>
      <c r="W213">
        <v>229</v>
      </c>
      <c r="X213" t="s">
        <v>38</v>
      </c>
    </row>
    <row r="214" spans="1:24" x14ac:dyDescent="0.25">
      <c r="A214" s="1">
        <v>45174</v>
      </c>
      <c r="B214" t="s">
        <v>107</v>
      </c>
      <c r="C214" t="s">
        <v>20</v>
      </c>
      <c r="D214" t="s">
        <v>46</v>
      </c>
      <c r="E214">
        <v>150</v>
      </c>
      <c r="F214">
        <v>400</v>
      </c>
      <c r="G214">
        <v>500</v>
      </c>
      <c r="J214" t="s">
        <v>15</v>
      </c>
      <c r="K214" t="s">
        <v>39</v>
      </c>
      <c r="L214" t="s">
        <v>32</v>
      </c>
      <c r="M214" t="s">
        <v>18</v>
      </c>
      <c r="N214">
        <v>2</v>
      </c>
      <c r="P214">
        <v>1000</v>
      </c>
      <c r="Q214">
        <v>1400</v>
      </c>
      <c r="R214" t="s">
        <v>13</v>
      </c>
      <c r="S214" t="s">
        <v>14</v>
      </c>
      <c r="T214">
        <v>203.75</v>
      </c>
      <c r="U214" t="str">
        <f>_xlfn.IFNA(_xlfn.IFS(E214&gt;Dash!$D$46, "Big", E214&lt;Dash!$D$49, "Small", E214&gt;Dash!$D$47, "Good"), "Norm")</f>
        <v>Small</v>
      </c>
    </row>
    <row r="215" spans="1:24" x14ac:dyDescent="0.25">
      <c r="A215" s="1">
        <v>45182</v>
      </c>
      <c r="B215" t="s">
        <v>18</v>
      </c>
      <c r="C215" t="s">
        <v>33</v>
      </c>
      <c r="D215" t="s">
        <v>46</v>
      </c>
      <c r="E215">
        <v>211.5</v>
      </c>
      <c r="F215">
        <v>2200</v>
      </c>
      <c r="G215">
        <v>0</v>
      </c>
      <c r="J215" t="s">
        <v>37</v>
      </c>
      <c r="K215" t="s">
        <v>25</v>
      </c>
      <c r="L215" t="s">
        <v>32</v>
      </c>
      <c r="M215" t="s">
        <v>18</v>
      </c>
      <c r="N215">
        <v>10</v>
      </c>
      <c r="P215">
        <v>1300</v>
      </c>
      <c r="Q215">
        <v>1500</v>
      </c>
      <c r="R215" t="s">
        <v>33</v>
      </c>
      <c r="S215" t="s">
        <v>28</v>
      </c>
      <c r="T215">
        <v>180.5</v>
      </c>
      <c r="U215" t="str">
        <f>_xlfn.IFNA(_xlfn.IFS(E215&gt;Dash!$D$46, "Big", E215&lt;Dash!$D$49, "Small", E215&gt;Dash!$D$47, "Good"), "Norm")</f>
        <v>Norm</v>
      </c>
      <c r="V215" t="s">
        <v>20</v>
      </c>
      <c r="W215">
        <v>172.5</v>
      </c>
      <c r="X215" t="s">
        <v>14</v>
      </c>
    </row>
    <row r="216" spans="1:24" x14ac:dyDescent="0.25">
      <c r="A216" s="1">
        <v>45187</v>
      </c>
      <c r="B216" t="s">
        <v>23</v>
      </c>
      <c r="C216" t="s">
        <v>20</v>
      </c>
      <c r="D216" t="s">
        <v>46</v>
      </c>
      <c r="E216">
        <v>124</v>
      </c>
      <c r="F216">
        <v>700</v>
      </c>
      <c r="G216">
        <v>800</v>
      </c>
      <c r="J216" t="s">
        <v>15</v>
      </c>
      <c r="K216" t="s">
        <v>39</v>
      </c>
      <c r="L216" t="s">
        <v>32</v>
      </c>
      <c r="M216" t="s">
        <v>18</v>
      </c>
      <c r="N216">
        <v>7</v>
      </c>
      <c r="P216">
        <v>1200</v>
      </c>
      <c r="Q216">
        <v>1400</v>
      </c>
      <c r="R216" t="s">
        <v>33</v>
      </c>
      <c r="S216" t="s">
        <v>14</v>
      </c>
      <c r="T216">
        <v>179.5</v>
      </c>
      <c r="U216" t="str">
        <f>_xlfn.IFNA(_xlfn.IFS(E216&gt;Dash!$D$46, "Big", E216&lt;Dash!$D$49, "Small", E216&gt;Dash!$D$47, "Good"), "Norm")</f>
        <v>Small</v>
      </c>
      <c r="V216" t="s">
        <v>13</v>
      </c>
      <c r="W216">
        <v>121.5</v>
      </c>
      <c r="X216" t="s">
        <v>43</v>
      </c>
    </row>
    <row r="217" spans="1:24" x14ac:dyDescent="0.25">
      <c r="A217" s="1">
        <v>45191</v>
      </c>
      <c r="B217" t="s">
        <v>26</v>
      </c>
      <c r="C217" t="s">
        <v>24</v>
      </c>
      <c r="D217" t="s">
        <v>46</v>
      </c>
      <c r="E217">
        <v>175</v>
      </c>
      <c r="F217">
        <v>2000</v>
      </c>
      <c r="G217">
        <v>2000</v>
      </c>
      <c r="J217" t="s">
        <v>37</v>
      </c>
      <c r="K217" t="s">
        <v>31</v>
      </c>
      <c r="L217" t="s">
        <v>35</v>
      </c>
      <c r="M217" t="s">
        <v>18</v>
      </c>
      <c r="N217">
        <v>7</v>
      </c>
      <c r="P217">
        <v>1500</v>
      </c>
      <c r="Q217">
        <v>1500</v>
      </c>
      <c r="R217" t="s">
        <v>33</v>
      </c>
      <c r="S217" t="s">
        <v>46</v>
      </c>
      <c r="T217">
        <v>157</v>
      </c>
      <c r="U217" t="str">
        <f>_xlfn.IFNA(_xlfn.IFS(E217&gt;Dash!$D$46, "Big", E217&lt;Dash!$D$49, "Small", E217&gt;Dash!$D$47, "Good"), "Norm")</f>
        <v>Norm</v>
      </c>
      <c r="V217" t="s">
        <v>13</v>
      </c>
      <c r="W217">
        <v>161</v>
      </c>
      <c r="X217" t="s">
        <v>14</v>
      </c>
    </row>
    <row r="218" spans="1:24" x14ac:dyDescent="0.25">
      <c r="A218" s="1">
        <v>45194</v>
      </c>
      <c r="B218" t="s">
        <v>23</v>
      </c>
      <c r="C218" t="s">
        <v>33</v>
      </c>
      <c r="D218" t="s">
        <v>46</v>
      </c>
      <c r="E218">
        <v>157</v>
      </c>
      <c r="F218">
        <v>400</v>
      </c>
      <c r="G218">
        <v>400</v>
      </c>
      <c r="J218" t="s">
        <v>15</v>
      </c>
      <c r="K218" t="s">
        <v>25</v>
      </c>
      <c r="L218" t="s">
        <v>44</v>
      </c>
      <c r="M218" t="s">
        <v>19</v>
      </c>
      <c r="N218">
        <v>6</v>
      </c>
      <c r="P218">
        <v>1500</v>
      </c>
      <c r="Q218">
        <v>1600</v>
      </c>
      <c r="R218" t="s">
        <v>13</v>
      </c>
      <c r="S218" t="s">
        <v>14</v>
      </c>
      <c r="T218">
        <v>226.75</v>
      </c>
      <c r="U218" t="str">
        <f>_xlfn.IFNA(_xlfn.IFS(E218&gt;Dash!$D$46, "Big", E218&lt;Dash!$D$49, "Small", E218&gt;Dash!$D$47, "Good"), "Norm")</f>
        <v>Norm</v>
      </c>
      <c r="V218" t="s">
        <v>24</v>
      </c>
      <c r="W218">
        <v>175</v>
      </c>
      <c r="X218" t="s">
        <v>46</v>
      </c>
    </row>
    <row r="219" spans="1:24" x14ac:dyDescent="0.25">
      <c r="A219" s="1">
        <v>45196</v>
      </c>
      <c r="B219" t="s">
        <v>18</v>
      </c>
      <c r="C219" t="s">
        <v>33</v>
      </c>
      <c r="D219" t="s">
        <v>46</v>
      </c>
      <c r="E219">
        <v>235.5</v>
      </c>
      <c r="F219">
        <v>1200</v>
      </c>
      <c r="G219">
        <v>1400</v>
      </c>
      <c r="J219" t="s">
        <v>21</v>
      </c>
      <c r="K219" t="s">
        <v>17</v>
      </c>
      <c r="L219" t="s">
        <v>32</v>
      </c>
      <c r="M219" t="s">
        <v>19</v>
      </c>
      <c r="N219">
        <v>6</v>
      </c>
      <c r="P219">
        <v>1300</v>
      </c>
      <c r="Q219">
        <v>1500</v>
      </c>
      <c r="R219" t="s">
        <v>33</v>
      </c>
      <c r="S219" t="s">
        <v>28</v>
      </c>
      <c r="T219">
        <v>289.5</v>
      </c>
      <c r="U219" t="str">
        <f>_xlfn.IFNA(_xlfn.IFS(E219&gt;Dash!$D$46, "Big", E219&lt;Dash!$D$49, "Small", E219&gt;Dash!$D$47, "Good"), "Norm")</f>
        <v>Norm</v>
      </c>
      <c r="V219" t="s">
        <v>13</v>
      </c>
      <c r="W219">
        <v>226.75</v>
      </c>
      <c r="X219" t="s">
        <v>14</v>
      </c>
    </row>
    <row r="220" spans="1:24" x14ac:dyDescent="0.25">
      <c r="A220" s="1">
        <v>45203</v>
      </c>
      <c r="B220" t="s">
        <v>18</v>
      </c>
      <c r="C220" t="s">
        <v>20</v>
      </c>
      <c r="D220" t="s">
        <v>46</v>
      </c>
      <c r="E220">
        <v>221.5</v>
      </c>
      <c r="F220">
        <v>2300</v>
      </c>
      <c r="G220">
        <v>2300</v>
      </c>
      <c r="J220" t="s">
        <v>37</v>
      </c>
      <c r="K220" t="s">
        <v>39</v>
      </c>
      <c r="L220" t="s">
        <v>32</v>
      </c>
      <c r="M220" t="s">
        <v>23</v>
      </c>
      <c r="N220">
        <v>9</v>
      </c>
      <c r="P220">
        <v>1400</v>
      </c>
      <c r="Q220">
        <v>1500</v>
      </c>
      <c r="R220" t="s">
        <v>33</v>
      </c>
      <c r="S220" t="s">
        <v>43</v>
      </c>
      <c r="T220">
        <v>242.5</v>
      </c>
      <c r="U220" t="str">
        <f>_xlfn.IFNA(_xlfn.IFS(E220&gt;Dash!$D$46, "Big", E220&lt;Dash!$D$49, "Small", E220&gt;Dash!$D$47, "Good"), "Norm")</f>
        <v>Norm</v>
      </c>
      <c r="V220" t="s">
        <v>20</v>
      </c>
      <c r="W220">
        <v>323.25</v>
      </c>
      <c r="X220" t="s">
        <v>14</v>
      </c>
    </row>
    <row r="221" spans="1:24" x14ac:dyDescent="0.25">
      <c r="A221" s="1">
        <v>45222</v>
      </c>
      <c r="B221" t="s">
        <v>23</v>
      </c>
      <c r="C221" t="s">
        <v>33</v>
      </c>
      <c r="D221" t="s">
        <v>46</v>
      </c>
      <c r="E221">
        <v>339.5</v>
      </c>
      <c r="F221">
        <v>300</v>
      </c>
      <c r="G221">
        <v>1000</v>
      </c>
      <c r="J221" t="s">
        <v>15</v>
      </c>
      <c r="K221" t="s">
        <v>25</v>
      </c>
      <c r="L221" t="s">
        <v>32</v>
      </c>
      <c r="M221" t="s">
        <v>23</v>
      </c>
      <c r="N221">
        <v>7</v>
      </c>
      <c r="P221">
        <v>1300</v>
      </c>
      <c r="Q221">
        <v>1500</v>
      </c>
      <c r="R221" t="s">
        <v>33</v>
      </c>
      <c r="S221" t="s">
        <v>28</v>
      </c>
      <c r="T221">
        <v>172</v>
      </c>
      <c r="U221" t="str">
        <f>_xlfn.IFNA(_xlfn.IFS(E221&gt;Dash!$D$46, "Big", E221&lt;Dash!$D$49, "Small", E221&gt;Dash!$D$47, "Good"), "Norm")</f>
        <v>Good</v>
      </c>
      <c r="V221" t="s">
        <v>33</v>
      </c>
      <c r="W221">
        <v>234.25</v>
      </c>
      <c r="X221" t="s">
        <v>14</v>
      </c>
    </row>
    <row r="222" spans="1:24" x14ac:dyDescent="0.25">
      <c r="A222" s="1">
        <v>45246</v>
      </c>
      <c r="B222" t="s">
        <v>36</v>
      </c>
      <c r="C222" t="s">
        <v>33</v>
      </c>
      <c r="D222" t="s">
        <v>46</v>
      </c>
      <c r="E222">
        <v>110</v>
      </c>
      <c r="F222">
        <v>2100</v>
      </c>
      <c r="G222">
        <v>2200</v>
      </c>
      <c r="J222" t="s">
        <v>37</v>
      </c>
      <c r="K222" t="s">
        <v>25</v>
      </c>
      <c r="L222" t="s">
        <v>32</v>
      </c>
      <c r="M222" t="s">
        <v>19</v>
      </c>
      <c r="N222">
        <v>9</v>
      </c>
      <c r="P222">
        <v>1300</v>
      </c>
      <c r="Q222">
        <v>1500</v>
      </c>
      <c r="R222" t="s">
        <v>33</v>
      </c>
      <c r="S222" t="s">
        <v>43</v>
      </c>
      <c r="T222">
        <v>115</v>
      </c>
      <c r="U222" t="str">
        <f>_xlfn.IFNA(_xlfn.IFS(E222&gt;Dash!$D$46, "Big", E222&lt;Dash!$D$49, "Small", E222&gt;Dash!$D$47, "Good"), "Norm")</f>
        <v>Small</v>
      </c>
      <c r="V222" t="s">
        <v>33</v>
      </c>
      <c r="W222">
        <v>217</v>
      </c>
      <c r="X222" t="s">
        <v>43</v>
      </c>
    </row>
    <row r="223" spans="1:24" x14ac:dyDescent="0.25">
      <c r="A223" s="1">
        <v>45296</v>
      </c>
      <c r="B223" t="s">
        <v>26</v>
      </c>
      <c r="C223" t="s">
        <v>33</v>
      </c>
      <c r="D223" t="s">
        <v>46</v>
      </c>
      <c r="E223">
        <v>243</v>
      </c>
      <c r="F223">
        <v>0</v>
      </c>
      <c r="G223">
        <v>900</v>
      </c>
      <c r="J223" t="s">
        <v>37</v>
      </c>
      <c r="K223" t="s">
        <v>25</v>
      </c>
      <c r="L223" t="s">
        <v>35</v>
      </c>
      <c r="M223" t="s">
        <v>18</v>
      </c>
      <c r="N223">
        <v>8</v>
      </c>
      <c r="R223" t="s">
        <v>20</v>
      </c>
      <c r="S223" t="s">
        <v>28</v>
      </c>
      <c r="T223">
        <v>341.75</v>
      </c>
      <c r="U223" t="str">
        <f>_xlfn.IFNA(_xlfn.IFS(E223&gt;Dash!$D$46, "Big", E223&lt;Dash!$D$49, "Small", E223&gt;Dash!$D$47, "Good"), "Norm")</f>
        <v>Norm</v>
      </c>
      <c r="V223" t="s">
        <v>20</v>
      </c>
      <c r="W223">
        <v>147.75</v>
      </c>
      <c r="X223" t="s">
        <v>14</v>
      </c>
    </row>
    <row r="224" spans="1:24" x14ac:dyDescent="0.25">
      <c r="A224" s="1">
        <v>45307</v>
      </c>
      <c r="B224" t="s">
        <v>107</v>
      </c>
      <c r="C224" t="s">
        <v>41</v>
      </c>
      <c r="D224" t="s">
        <v>46</v>
      </c>
      <c r="E224">
        <v>178.75</v>
      </c>
      <c r="F224">
        <v>100</v>
      </c>
      <c r="G224">
        <v>1000</v>
      </c>
      <c r="J224" t="s">
        <v>37</v>
      </c>
      <c r="K224" t="s">
        <v>39</v>
      </c>
      <c r="L224" t="s">
        <v>35</v>
      </c>
      <c r="M224" t="s">
        <v>18</v>
      </c>
      <c r="N224">
        <v>5</v>
      </c>
      <c r="R224" t="s">
        <v>24</v>
      </c>
      <c r="S224" t="s">
        <v>46</v>
      </c>
      <c r="T224">
        <v>201.25</v>
      </c>
      <c r="U224" t="str">
        <f>_xlfn.IFNA(_xlfn.IFS(E224&gt;Dash!$D$46, "Big", E224&lt;Dash!$D$49, "Small", E224&gt;Dash!$D$47, "Good"), "Norm")</f>
        <v>Norm</v>
      </c>
      <c r="V224" t="s">
        <v>41</v>
      </c>
      <c r="W224">
        <v>147.25</v>
      </c>
      <c r="X224">
        <v>1</v>
      </c>
    </row>
    <row r="225" spans="1:24" x14ac:dyDescent="0.25">
      <c r="A225" s="1">
        <v>45308</v>
      </c>
      <c r="B225" t="s">
        <v>18</v>
      </c>
      <c r="C225" t="s">
        <v>24</v>
      </c>
      <c r="D225" t="s">
        <v>46</v>
      </c>
      <c r="E225">
        <v>201.25</v>
      </c>
      <c r="F225">
        <v>800</v>
      </c>
      <c r="G225">
        <v>1400</v>
      </c>
      <c r="J225" t="s">
        <v>45</v>
      </c>
      <c r="K225" t="s">
        <v>16</v>
      </c>
      <c r="L225" t="s">
        <v>25</v>
      </c>
      <c r="M225" t="s">
        <v>18</v>
      </c>
      <c r="N225">
        <v>5</v>
      </c>
      <c r="R225" t="s">
        <v>13</v>
      </c>
      <c r="S225" t="s">
        <v>28</v>
      </c>
      <c r="T225">
        <v>183.25</v>
      </c>
      <c r="U225" t="str">
        <f>_xlfn.IFNA(_xlfn.IFS(E225&gt;Dash!$D$46, "Big", E225&lt;Dash!$D$49, "Small", E225&gt;Dash!$D$47, "Good"), "Norm")</f>
        <v>Norm</v>
      </c>
      <c r="V225" t="s">
        <v>41</v>
      </c>
      <c r="W225">
        <v>178.75</v>
      </c>
      <c r="X225" t="s">
        <v>46</v>
      </c>
    </row>
    <row r="226" spans="1:24" x14ac:dyDescent="0.25">
      <c r="A226" s="1">
        <v>45314</v>
      </c>
      <c r="B226" t="s">
        <v>19</v>
      </c>
      <c r="C226" t="s">
        <v>33</v>
      </c>
      <c r="D226" t="s">
        <v>46</v>
      </c>
      <c r="E226">
        <v>129.5</v>
      </c>
      <c r="F226">
        <v>300</v>
      </c>
      <c r="G226">
        <v>400</v>
      </c>
      <c r="J226" t="s">
        <v>15</v>
      </c>
      <c r="K226" t="s">
        <v>25</v>
      </c>
      <c r="L226" t="s">
        <v>44</v>
      </c>
      <c r="M226" t="s">
        <v>18</v>
      </c>
      <c r="N226">
        <v>5</v>
      </c>
      <c r="O226" t="s">
        <v>62</v>
      </c>
      <c r="R226" t="s">
        <v>13</v>
      </c>
      <c r="S226" t="s">
        <v>28</v>
      </c>
      <c r="T226">
        <v>189.5</v>
      </c>
      <c r="U226" t="str">
        <f>_xlfn.IFNA(_xlfn.IFS(E226&gt;Dash!$D$46, "Big", E226&lt;Dash!$D$49, "Small", E226&gt;Dash!$D$47, "Good"), "Norm")</f>
        <v>Small</v>
      </c>
      <c r="V226" t="s">
        <v>33</v>
      </c>
      <c r="W226">
        <v>151</v>
      </c>
      <c r="X226" t="s">
        <v>43</v>
      </c>
    </row>
    <row r="227" spans="1:24" x14ac:dyDescent="0.25">
      <c r="A227" s="1">
        <v>45316</v>
      </c>
      <c r="B227" t="s">
        <v>36</v>
      </c>
      <c r="C227" t="s">
        <v>33</v>
      </c>
      <c r="D227" t="s">
        <v>46</v>
      </c>
      <c r="E227">
        <v>210</v>
      </c>
      <c r="F227">
        <v>1400</v>
      </c>
      <c r="G227">
        <v>1500</v>
      </c>
      <c r="J227" t="s">
        <v>21</v>
      </c>
      <c r="K227" t="s">
        <v>35</v>
      </c>
      <c r="L227" t="s">
        <v>17</v>
      </c>
      <c r="M227" t="s">
        <v>18</v>
      </c>
      <c r="N227">
        <v>5</v>
      </c>
      <c r="R227" t="s">
        <v>20</v>
      </c>
      <c r="S227" t="s">
        <v>14</v>
      </c>
      <c r="T227">
        <v>128.5</v>
      </c>
      <c r="U227" t="str">
        <f>_xlfn.IFNA(_xlfn.IFS(E227&gt;Dash!$D$46, "Big", E227&lt;Dash!$D$49, "Small", E227&gt;Dash!$D$47, "Good"), "Norm")</f>
        <v>Norm</v>
      </c>
      <c r="V227" t="s">
        <v>13</v>
      </c>
      <c r="W227">
        <v>189.5</v>
      </c>
      <c r="X227" t="s">
        <v>28</v>
      </c>
    </row>
    <row r="228" spans="1:24" x14ac:dyDescent="0.25">
      <c r="A228" s="1">
        <v>45343</v>
      </c>
      <c r="B228" t="s">
        <v>18</v>
      </c>
      <c r="C228" t="s">
        <v>33</v>
      </c>
      <c r="D228" t="s">
        <v>46</v>
      </c>
      <c r="E228">
        <v>169.75</v>
      </c>
      <c r="F228">
        <v>2000</v>
      </c>
      <c r="G228">
        <v>2000</v>
      </c>
      <c r="J228" t="s">
        <v>45</v>
      </c>
      <c r="K228" t="s">
        <v>17</v>
      </c>
      <c r="L228" t="s">
        <v>44</v>
      </c>
      <c r="M228" t="s">
        <v>18</v>
      </c>
      <c r="N228">
        <v>4</v>
      </c>
      <c r="O228" t="s">
        <v>66</v>
      </c>
      <c r="R228" t="s">
        <v>13</v>
      </c>
      <c r="S228" t="s">
        <v>28</v>
      </c>
      <c r="T228">
        <v>223</v>
      </c>
      <c r="U228" t="str">
        <f>_xlfn.IFNA(_xlfn.IFS(E228&gt;Dash!$D$46, "Big", E228&lt;Dash!$D$49, "Small", E228&gt;Dash!$D$47, "Good"), "Norm")</f>
        <v>Norm</v>
      </c>
      <c r="V228" t="s">
        <v>13</v>
      </c>
      <c r="W228">
        <v>271.5</v>
      </c>
      <c r="X228" t="s">
        <v>14</v>
      </c>
    </row>
    <row r="229" spans="1:24" x14ac:dyDescent="0.25">
      <c r="A229" s="1">
        <v>45349</v>
      </c>
      <c r="B229" t="s">
        <v>19</v>
      </c>
      <c r="C229" t="s">
        <v>20</v>
      </c>
      <c r="D229" t="s">
        <v>46</v>
      </c>
      <c r="E229">
        <v>125</v>
      </c>
      <c r="F229">
        <v>1200</v>
      </c>
      <c r="G229">
        <v>1300</v>
      </c>
      <c r="J229" t="s">
        <v>21</v>
      </c>
      <c r="K229" t="s">
        <v>22</v>
      </c>
      <c r="L229" t="s">
        <v>17</v>
      </c>
      <c r="M229" t="s">
        <v>19</v>
      </c>
      <c r="N229">
        <v>7</v>
      </c>
      <c r="R229" t="s">
        <v>13</v>
      </c>
      <c r="S229" t="s">
        <v>14</v>
      </c>
      <c r="T229">
        <v>99</v>
      </c>
      <c r="U229" t="str">
        <f>_xlfn.IFNA(_xlfn.IFS(E229&gt;Dash!$D$46, "Big", E229&lt;Dash!$D$49, "Small", E229&gt;Dash!$D$47, "Good"), "Norm")</f>
        <v>Small</v>
      </c>
      <c r="V229" t="s">
        <v>24</v>
      </c>
      <c r="W229">
        <v>93.5</v>
      </c>
      <c r="X229" t="s">
        <v>14</v>
      </c>
    </row>
    <row r="230" spans="1:24" x14ac:dyDescent="0.25">
      <c r="A230" s="1">
        <v>45370</v>
      </c>
      <c r="B230" t="s">
        <v>19</v>
      </c>
      <c r="C230" t="s">
        <v>33</v>
      </c>
      <c r="D230" t="s">
        <v>46</v>
      </c>
      <c r="E230">
        <v>236</v>
      </c>
      <c r="F230">
        <v>900</v>
      </c>
      <c r="G230">
        <v>900</v>
      </c>
      <c r="J230" t="s">
        <v>45</v>
      </c>
      <c r="K230" t="s">
        <v>25</v>
      </c>
      <c r="L230" t="s">
        <v>32</v>
      </c>
      <c r="M230" t="s">
        <v>18</v>
      </c>
      <c r="N230">
        <v>8</v>
      </c>
      <c r="R230" t="s">
        <v>13</v>
      </c>
      <c r="S230" t="s">
        <v>14</v>
      </c>
      <c r="T230">
        <v>253</v>
      </c>
      <c r="U230" t="str">
        <f>_xlfn.IFNA(_xlfn.IFS(E230&gt;Dash!$D$46, "Big", E230&lt;Dash!$D$49, "Small", E230&gt;Dash!$D$47, "Good"), "Norm")</f>
        <v>Norm</v>
      </c>
      <c r="V230" t="s">
        <v>24</v>
      </c>
      <c r="W230">
        <v>162</v>
      </c>
      <c r="X230" t="s">
        <v>43</v>
      </c>
    </row>
    <row r="231" spans="1:24" x14ac:dyDescent="0.25">
      <c r="A231" s="1">
        <v>45373</v>
      </c>
      <c r="B231" t="s">
        <v>26</v>
      </c>
      <c r="C231" t="s">
        <v>33</v>
      </c>
      <c r="D231" t="s">
        <v>46</v>
      </c>
      <c r="E231">
        <v>134</v>
      </c>
      <c r="F231">
        <v>700</v>
      </c>
      <c r="G231">
        <v>800</v>
      </c>
      <c r="J231" t="s">
        <v>15</v>
      </c>
      <c r="K231" t="s">
        <v>25</v>
      </c>
      <c r="L231" t="s">
        <v>32</v>
      </c>
      <c r="M231" t="s">
        <v>18</v>
      </c>
      <c r="N231">
        <v>8</v>
      </c>
      <c r="R231" t="s">
        <v>24</v>
      </c>
      <c r="S231" t="s">
        <v>46</v>
      </c>
      <c r="T231">
        <v>157</v>
      </c>
      <c r="U231" t="str">
        <f>_xlfn.IFNA(_xlfn.IFS(E231&gt;Dash!$D$46, "Big", E231&lt;Dash!$D$49, "Small", E231&gt;Dash!$D$47, "Good"), "Norm")</f>
        <v>Small</v>
      </c>
      <c r="V231" t="s">
        <v>24</v>
      </c>
      <c r="W231">
        <v>156.5</v>
      </c>
      <c r="X231" t="s">
        <v>28</v>
      </c>
    </row>
    <row r="232" spans="1:24" x14ac:dyDescent="0.25">
      <c r="A232" s="1">
        <v>45376</v>
      </c>
      <c r="B232" t="s">
        <v>23</v>
      </c>
      <c r="C232" t="s">
        <v>24</v>
      </c>
      <c r="D232" t="s">
        <v>46</v>
      </c>
      <c r="E232">
        <v>157</v>
      </c>
      <c r="F232">
        <v>700</v>
      </c>
      <c r="G232">
        <v>1000</v>
      </c>
      <c r="J232" t="s">
        <v>15</v>
      </c>
      <c r="K232" t="s">
        <v>16</v>
      </c>
      <c r="L232" t="s">
        <v>25</v>
      </c>
      <c r="M232" t="s">
        <v>19</v>
      </c>
      <c r="N232">
        <v>6</v>
      </c>
      <c r="R232" t="s">
        <v>20</v>
      </c>
      <c r="S232" t="s">
        <v>43</v>
      </c>
      <c r="T232">
        <v>177.5</v>
      </c>
      <c r="U232" t="str">
        <f>_xlfn.IFNA(_xlfn.IFS(E232&gt;Dash!$D$46, "Big", E232&lt;Dash!$D$49, "Small", E232&gt;Dash!$D$47, "Good"), "Norm")</f>
        <v>Norm</v>
      </c>
      <c r="V232" t="s">
        <v>33</v>
      </c>
      <c r="W232">
        <v>134</v>
      </c>
      <c r="X232" t="s">
        <v>46</v>
      </c>
    </row>
    <row r="233" spans="1:24" x14ac:dyDescent="0.25">
      <c r="A233" s="1">
        <v>45378</v>
      </c>
      <c r="B233" t="s">
        <v>18</v>
      </c>
      <c r="C233" t="s">
        <v>33</v>
      </c>
      <c r="D233" t="s">
        <v>46</v>
      </c>
      <c r="E233">
        <v>193.25</v>
      </c>
      <c r="F233">
        <v>1000</v>
      </c>
      <c r="G233">
        <v>1200</v>
      </c>
      <c r="J233" t="s">
        <v>45</v>
      </c>
      <c r="K233" t="s">
        <v>35</v>
      </c>
      <c r="L233" t="s">
        <v>25</v>
      </c>
      <c r="M233" t="s">
        <v>19</v>
      </c>
      <c r="N233">
        <v>6</v>
      </c>
      <c r="R233" t="s">
        <v>33</v>
      </c>
      <c r="S233">
        <v>1</v>
      </c>
      <c r="T233">
        <v>90</v>
      </c>
      <c r="U233" t="str">
        <f>_xlfn.IFNA(_xlfn.IFS(E233&gt;Dash!$D$46, "Big", E233&lt;Dash!$D$49, "Small", E233&gt;Dash!$D$47, "Good"), "Norm")</f>
        <v>Norm</v>
      </c>
      <c r="V233" t="s">
        <v>20</v>
      </c>
      <c r="W233">
        <v>177.5</v>
      </c>
      <c r="X233" t="s">
        <v>43</v>
      </c>
    </row>
    <row r="234" spans="1:24" x14ac:dyDescent="0.25">
      <c r="A234" s="1">
        <v>45387</v>
      </c>
      <c r="B234" t="s">
        <v>26</v>
      </c>
      <c r="C234" t="s">
        <v>33</v>
      </c>
      <c r="D234" t="s">
        <v>46</v>
      </c>
      <c r="E234">
        <v>356.75</v>
      </c>
      <c r="F234">
        <v>2000</v>
      </c>
      <c r="G234">
        <v>2000</v>
      </c>
      <c r="J234" t="s">
        <v>37</v>
      </c>
      <c r="K234" t="s">
        <v>25</v>
      </c>
      <c r="L234" t="s">
        <v>32</v>
      </c>
      <c r="M234" t="s">
        <v>23</v>
      </c>
      <c r="N234">
        <v>9</v>
      </c>
      <c r="R234" t="s">
        <v>33</v>
      </c>
      <c r="S234">
        <v>1</v>
      </c>
      <c r="T234">
        <v>138.5</v>
      </c>
      <c r="U234" t="str">
        <f>_xlfn.IFNA(_xlfn.IFS(E234&gt;Dash!$D$46, "Big", E234&lt;Dash!$D$49, "Small", E234&gt;Dash!$D$47, "Good"), "Norm")</f>
        <v>Good</v>
      </c>
      <c r="V234" t="s">
        <v>33</v>
      </c>
      <c r="W234">
        <v>498.75</v>
      </c>
      <c r="X234" t="s">
        <v>48</v>
      </c>
    </row>
    <row r="235" spans="1:24" x14ac:dyDescent="0.25">
      <c r="A235" s="1">
        <v>45398</v>
      </c>
      <c r="B235" t="s">
        <v>19</v>
      </c>
      <c r="C235" t="s">
        <v>20</v>
      </c>
      <c r="D235" t="s">
        <v>46</v>
      </c>
      <c r="E235">
        <v>170</v>
      </c>
      <c r="F235">
        <v>2200</v>
      </c>
      <c r="G235">
        <v>2300</v>
      </c>
      <c r="J235" t="s">
        <v>37</v>
      </c>
      <c r="K235" t="s">
        <v>39</v>
      </c>
      <c r="L235" t="s">
        <v>32</v>
      </c>
      <c r="M235" t="s">
        <v>23</v>
      </c>
      <c r="N235">
        <v>5</v>
      </c>
      <c r="R235" t="s">
        <v>33</v>
      </c>
      <c r="S235" t="s">
        <v>14</v>
      </c>
      <c r="T235">
        <v>353.25</v>
      </c>
      <c r="U235" t="str">
        <f>_xlfn.IFNA(_xlfn.IFS(E235&gt;Dash!$D$46, "Big", E235&lt;Dash!$D$49, "Small", E235&gt;Dash!$D$47, "Good"), "Norm")</f>
        <v>Norm</v>
      </c>
      <c r="V235" t="s">
        <v>33</v>
      </c>
      <c r="W235">
        <v>509.25</v>
      </c>
      <c r="X235" t="s">
        <v>14</v>
      </c>
    </row>
    <row r="236" spans="1:24" x14ac:dyDescent="0.25">
      <c r="A236" s="1">
        <v>45413</v>
      </c>
      <c r="B236" t="s">
        <v>18</v>
      </c>
      <c r="C236" t="s">
        <v>33</v>
      </c>
      <c r="D236" t="s">
        <v>46</v>
      </c>
      <c r="E236">
        <v>394</v>
      </c>
      <c r="F236">
        <v>1800</v>
      </c>
      <c r="G236">
        <v>1800</v>
      </c>
      <c r="J236" t="s">
        <v>37</v>
      </c>
      <c r="K236" t="s">
        <v>17</v>
      </c>
      <c r="L236" t="s">
        <v>32</v>
      </c>
      <c r="M236" t="s">
        <v>19</v>
      </c>
      <c r="N236">
        <v>14</v>
      </c>
      <c r="R236" t="s">
        <v>33</v>
      </c>
      <c r="S236" t="s">
        <v>46</v>
      </c>
      <c r="T236">
        <v>299.25</v>
      </c>
      <c r="U236" t="str">
        <f>_xlfn.IFNA(_xlfn.IFS(E236&gt;Dash!$D$46, "Big", E236&lt;Dash!$D$49, "Small", E236&gt;Dash!$D$47, "Good"), "Norm")</f>
        <v>Good</v>
      </c>
      <c r="V236" t="s">
        <v>13</v>
      </c>
      <c r="W236">
        <v>331.75</v>
      </c>
      <c r="X236" t="s">
        <v>14</v>
      </c>
    </row>
    <row r="237" spans="1:24" x14ac:dyDescent="0.25">
      <c r="A237" s="1">
        <v>45414</v>
      </c>
      <c r="B237" t="s">
        <v>36</v>
      </c>
      <c r="C237" t="s">
        <v>33</v>
      </c>
      <c r="D237" t="s">
        <v>46</v>
      </c>
      <c r="E237">
        <v>299.25</v>
      </c>
      <c r="F237">
        <v>1000</v>
      </c>
      <c r="G237">
        <v>1000</v>
      </c>
      <c r="J237" t="s">
        <v>45</v>
      </c>
      <c r="K237" t="s">
        <v>25</v>
      </c>
      <c r="L237" t="s">
        <v>44</v>
      </c>
      <c r="M237" t="s">
        <v>19</v>
      </c>
      <c r="N237">
        <v>14</v>
      </c>
      <c r="O237" t="s">
        <v>70</v>
      </c>
      <c r="R237" t="s">
        <v>41</v>
      </c>
      <c r="S237" t="s">
        <v>28</v>
      </c>
      <c r="T237">
        <v>307</v>
      </c>
      <c r="U237" t="str">
        <f>_xlfn.IFNA(_xlfn.IFS(E237&gt;Dash!$D$46, "Big", E237&lt;Dash!$D$49, "Small", E237&gt;Dash!$D$47, "Good"), "Norm")</f>
        <v>Good</v>
      </c>
      <c r="V237" t="s">
        <v>33</v>
      </c>
      <c r="W237">
        <v>394</v>
      </c>
      <c r="X237" t="s">
        <v>46</v>
      </c>
    </row>
    <row r="238" spans="1:24" x14ac:dyDescent="0.25">
      <c r="A238" s="1">
        <v>45443</v>
      </c>
      <c r="B238" t="s">
        <v>26</v>
      </c>
      <c r="C238" t="s">
        <v>33</v>
      </c>
      <c r="D238" t="s">
        <v>46</v>
      </c>
      <c r="E238">
        <v>427</v>
      </c>
      <c r="F238">
        <v>2000</v>
      </c>
      <c r="G238">
        <v>2100</v>
      </c>
      <c r="J238" t="s">
        <v>37</v>
      </c>
      <c r="K238" t="s">
        <v>35</v>
      </c>
      <c r="L238" t="s">
        <v>17</v>
      </c>
      <c r="M238" t="s">
        <v>19</v>
      </c>
      <c r="N238">
        <v>5</v>
      </c>
      <c r="R238" t="s">
        <v>33</v>
      </c>
      <c r="S238" t="s">
        <v>28</v>
      </c>
      <c r="T238">
        <v>319.75</v>
      </c>
      <c r="U238" t="str">
        <f>_xlfn.IFNA(_xlfn.IFS(E238&gt;Dash!$D$46, "Big", E238&lt;Dash!$D$49, "Small", E238&gt;Dash!$D$47, "Good"), "Norm")</f>
        <v>Big</v>
      </c>
      <c r="V238" t="s">
        <v>33</v>
      </c>
      <c r="W238">
        <v>240.75</v>
      </c>
      <c r="X238" t="s">
        <v>14</v>
      </c>
    </row>
    <row r="239" spans="1:24" x14ac:dyDescent="0.25">
      <c r="A239" s="1">
        <v>45464</v>
      </c>
      <c r="B239" t="s">
        <v>26</v>
      </c>
      <c r="C239" t="s">
        <v>41</v>
      </c>
      <c r="D239" t="s">
        <v>46</v>
      </c>
      <c r="E239">
        <v>158.5</v>
      </c>
      <c r="F239">
        <v>400</v>
      </c>
      <c r="G239">
        <v>400</v>
      </c>
      <c r="J239" t="s">
        <v>15</v>
      </c>
      <c r="K239" t="s">
        <v>22</v>
      </c>
      <c r="L239" t="s">
        <v>25</v>
      </c>
      <c r="M239" t="s">
        <v>19</v>
      </c>
      <c r="N239">
        <v>7</v>
      </c>
      <c r="O239" t="s">
        <v>67</v>
      </c>
      <c r="R239" t="s">
        <v>13</v>
      </c>
      <c r="S239" t="s">
        <v>14</v>
      </c>
      <c r="T239">
        <v>255</v>
      </c>
      <c r="U239" t="str">
        <f>_xlfn.IFNA(_xlfn.IFS(E239&gt;Dash!$D$46, "Big", E239&lt;Dash!$D$49, "Small", E239&gt;Dash!$D$47, "Good"), "Norm")</f>
        <v>Norm</v>
      </c>
      <c r="V239" t="s">
        <v>20</v>
      </c>
      <c r="W239">
        <v>347.5</v>
      </c>
      <c r="X239" t="s">
        <v>48</v>
      </c>
    </row>
    <row r="240" spans="1:24" x14ac:dyDescent="0.25">
      <c r="A240" s="1">
        <v>45468</v>
      </c>
      <c r="B240" t="s">
        <v>19</v>
      </c>
      <c r="C240" t="s">
        <v>20</v>
      </c>
      <c r="D240" t="s">
        <v>46</v>
      </c>
      <c r="E240">
        <v>189</v>
      </c>
      <c r="F240">
        <v>400</v>
      </c>
      <c r="G240">
        <v>400</v>
      </c>
      <c r="J240" t="s">
        <v>15</v>
      </c>
      <c r="K240" t="s">
        <v>39</v>
      </c>
      <c r="L240" t="s">
        <v>32</v>
      </c>
      <c r="M240" t="s">
        <v>19</v>
      </c>
      <c r="N240">
        <v>6</v>
      </c>
      <c r="R240" t="s">
        <v>41</v>
      </c>
      <c r="S240" t="s">
        <v>43</v>
      </c>
      <c r="T240">
        <v>127</v>
      </c>
      <c r="U240" t="str">
        <f>_xlfn.IFNA(_xlfn.IFS(E240&gt;Dash!$D$46, "Big", E240&lt;Dash!$D$49, "Small", E240&gt;Dash!$D$47, "Good"), "Norm")</f>
        <v>Norm</v>
      </c>
      <c r="V240" t="s">
        <v>13</v>
      </c>
      <c r="W240">
        <v>255</v>
      </c>
      <c r="X240" t="s">
        <v>14</v>
      </c>
    </row>
    <row r="241" spans="1:24" x14ac:dyDescent="0.25">
      <c r="A241" s="1">
        <v>45474</v>
      </c>
      <c r="B241" t="s">
        <v>23</v>
      </c>
      <c r="C241" t="s">
        <v>33</v>
      </c>
      <c r="D241" t="s">
        <v>46</v>
      </c>
      <c r="E241">
        <v>262.25</v>
      </c>
      <c r="F241">
        <v>500</v>
      </c>
      <c r="G241">
        <v>500</v>
      </c>
      <c r="J241" t="s">
        <v>15</v>
      </c>
      <c r="K241" t="s">
        <v>25</v>
      </c>
      <c r="L241" t="s">
        <v>32</v>
      </c>
      <c r="M241" t="s">
        <v>23</v>
      </c>
      <c r="N241">
        <v>10</v>
      </c>
      <c r="R241" t="s">
        <v>20</v>
      </c>
      <c r="S241" t="s">
        <v>28</v>
      </c>
      <c r="T241">
        <v>332</v>
      </c>
      <c r="U241" t="str">
        <f>_xlfn.IFNA(_xlfn.IFS(E241&gt;Dash!$D$46, "Big", E241&lt;Dash!$D$49, "Small", E241&gt;Dash!$D$47, "Good"), "Norm")</f>
        <v>Good</v>
      </c>
      <c r="V241" t="s">
        <v>33</v>
      </c>
      <c r="W241">
        <v>367</v>
      </c>
      <c r="X241" t="s">
        <v>43</v>
      </c>
    </row>
    <row r="242" spans="1:24" x14ac:dyDescent="0.25">
      <c r="A242" s="1">
        <v>45485</v>
      </c>
      <c r="B242" t="s">
        <v>26</v>
      </c>
      <c r="C242" t="s">
        <v>33</v>
      </c>
      <c r="D242" t="s">
        <v>46</v>
      </c>
      <c r="E242">
        <v>406</v>
      </c>
      <c r="F242">
        <v>100</v>
      </c>
      <c r="G242">
        <v>100</v>
      </c>
      <c r="J242" t="s">
        <v>37</v>
      </c>
      <c r="K242" t="s">
        <v>25</v>
      </c>
      <c r="L242" t="s">
        <v>32</v>
      </c>
      <c r="M242" t="s">
        <v>19</v>
      </c>
      <c r="N242">
        <v>9</v>
      </c>
      <c r="R242" t="s">
        <v>33</v>
      </c>
      <c r="S242" t="s">
        <v>43</v>
      </c>
      <c r="T242">
        <v>290.75</v>
      </c>
      <c r="U242" t="str">
        <f>_xlfn.IFNA(_xlfn.IFS(E242&gt;Dash!$D$46, "Big", E242&lt;Dash!$D$49, "Small", E242&gt;Dash!$D$47, "Good"), "Norm")</f>
        <v>Big</v>
      </c>
      <c r="V242" t="s">
        <v>33</v>
      </c>
      <c r="W242">
        <v>606.5</v>
      </c>
      <c r="X242" t="s">
        <v>48</v>
      </c>
    </row>
    <row r="243" spans="1:24" x14ac:dyDescent="0.25">
      <c r="A243" s="1">
        <v>45489</v>
      </c>
      <c r="B243" t="s">
        <v>19</v>
      </c>
      <c r="C243" t="s">
        <v>33</v>
      </c>
      <c r="D243" t="s">
        <v>46</v>
      </c>
      <c r="E243">
        <v>220</v>
      </c>
      <c r="F243">
        <v>1000</v>
      </c>
      <c r="G243">
        <v>1000</v>
      </c>
      <c r="J243" t="s">
        <v>45</v>
      </c>
      <c r="K243" t="s">
        <v>35</v>
      </c>
      <c r="L243" t="s">
        <v>17</v>
      </c>
      <c r="M243" t="s">
        <v>23</v>
      </c>
      <c r="N243">
        <v>5</v>
      </c>
      <c r="R243" t="s">
        <v>13</v>
      </c>
      <c r="S243" t="s">
        <v>14</v>
      </c>
      <c r="T243">
        <v>332.5</v>
      </c>
      <c r="U243" t="str">
        <f>_xlfn.IFNA(_xlfn.IFS(E243&gt;Dash!$D$46, "Big", E243&lt;Dash!$D$49, "Small", E243&gt;Dash!$D$47, "Good"), "Norm")</f>
        <v>Norm</v>
      </c>
      <c r="V243" t="s">
        <v>33</v>
      </c>
      <c r="W243">
        <v>290.75</v>
      </c>
      <c r="X243" t="s">
        <v>43</v>
      </c>
    </row>
    <row r="244" spans="1:24" x14ac:dyDescent="0.25">
      <c r="A244" s="1">
        <v>45531</v>
      </c>
      <c r="B244" t="s">
        <v>19</v>
      </c>
      <c r="C244" t="s">
        <v>33</v>
      </c>
      <c r="D244" t="s">
        <v>46</v>
      </c>
      <c r="E244">
        <v>252.75</v>
      </c>
      <c r="F244">
        <v>800</v>
      </c>
      <c r="G244">
        <v>800</v>
      </c>
      <c r="J244" t="s">
        <v>45</v>
      </c>
      <c r="K244" t="s">
        <v>25</v>
      </c>
      <c r="L244" t="s">
        <v>35</v>
      </c>
      <c r="M244" t="s">
        <v>19</v>
      </c>
      <c r="N244">
        <v>4</v>
      </c>
      <c r="R244" t="s">
        <v>20</v>
      </c>
      <c r="S244" t="s">
        <v>14</v>
      </c>
      <c r="T244">
        <v>378</v>
      </c>
      <c r="U244" t="str">
        <f>_xlfn.IFNA(_xlfn.IFS(E244&gt;Dash!$D$46, "Big", E244&lt;Dash!$D$49, "Small", E244&gt;Dash!$D$47, "Good"), "Norm")</f>
        <v>Good</v>
      </c>
      <c r="V244" t="s">
        <v>41</v>
      </c>
      <c r="W244">
        <v>296</v>
      </c>
      <c r="X244" t="s">
        <v>14</v>
      </c>
    </row>
    <row r="245" spans="1:24" x14ac:dyDescent="0.25">
      <c r="A245" s="1">
        <v>45539</v>
      </c>
      <c r="B245" t="s">
        <v>18</v>
      </c>
      <c r="C245" t="s">
        <v>24</v>
      </c>
      <c r="D245" t="s">
        <v>46</v>
      </c>
      <c r="E245">
        <v>276.5</v>
      </c>
      <c r="F245">
        <v>2000</v>
      </c>
      <c r="G245">
        <v>500</v>
      </c>
      <c r="J245" t="s">
        <v>37</v>
      </c>
      <c r="K245" t="s">
        <v>31</v>
      </c>
      <c r="L245" t="s">
        <v>35</v>
      </c>
      <c r="M245" t="s">
        <v>19</v>
      </c>
      <c r="N245">
        <v>9</v>
      </c>
      <c r="R245" t="s">
        <v>33</v>
      </c>
      <c r="S245" t="s">
        <v>43</v>
      </c>
      <c r="T245">
        <v>323.25</v>
      </c>
      <c r="U245" t="str">
        <f>_xlfn.IFNA(_xlfn.IFS(E245&gt;Dash!$D$46, "Big", E245&lt;Dash!$D$49, "Small", E245&gt;Dash!$D$47, "Good"), "Norm")</f>
        <v>Good</v>
      </c>
      <c r="V245" t="s">
        <v>13</v>
      </c>
      <c r="W245">
        <v>611.25</v>
      </c>
      <c r="X245" t="s">
        <v>48</v>
      </c>
    </row>
    <row r="246" spans="1:24" x14ac:dyDescent="0.25">
      <c r="A246" s="1">
        <v>45565</v>
      </c>
      <c r="B246" t="s">
        <v>23</v>
      </c>
      <c r="C246" t="s">
        <v>13</v>
      </c>
      <c r="D246" t="s">
        <v>46</v>
      </c>
      <c r="E246">
        <v>230.75</v>
      </c>
      <c r="F246">
        <v>1800</v>
      </c>
      <c r="G246">
        <v>1800</v>
      </c>
      <c r="J246" t="s">
        <v>37</v>
      </c>
      <c r="K246" t="s">
        <v>16</v>
      </c>
      <c r="L246" t="s">
        <v>17</v>
      </c>
      <c r="M246" t="s">
        <v>23</v>
      </c>
      <c r="N246">
        <v>9</v>
      </c>
      <c r="R246" t="s">
        <v>24</v>
      </c>
      <c r="S246" t="s">
        <v>48</v>
      </c>
      <c r="T246">
        <v>468.5</v>
      </c>
      <c r="U246" t="str">
        <f>_xlfn.IFNA(_xlfn.IFS(E246&gt;Dash!$D$46, "Big", E246&lt;Dash!$D$49, "Small", E246&gt;Dash!$D$47, "Good"), "Norm")</f>
        <v>Norm</v>
      </c>
      <c r="V246" t="s">
        <v>33</v>
      </c>
      <c r="W246">
        <v>222.75</v>
      </c>
      <c r="X246" t="s">
        <v>14</v>
      </c>
    </row>
    <row r="247" spans="1:24" x14ac:dyDescent="0.25">
      <c r="A247" s="1">
        <v>45581</v>
      </c>
      <c r="B247" t="s">
        <v>18</v>
      </c>
      <c r="C247" t="s">
        <v>24</v>
      </c>
      <c r="D247" t="s">
        <v>46</v>
      </c>
      <c r="E247">
        <v>173</v>
      </c>
      <c r="F247">
        <v>900</v>
      </c>
      <c r="G247">
        <v>1000</v>
      </c>
      <c r="J247" t="s">
        <v>45</v>
      </c>
      <c r="K247" t="s">
        <v>16</v>
      </c>
      <c r="L247" t="s">
        <v>25</v>
      </c>
      <c r="M247" t="s">
        <v>36</v>
      </c>
      <c r="N247">
        <v>3</v>
      </c>
      <c r="R247" t="s">
        <v>24</v>
      </c>
      <c r="S247" t="s">
        <v>28</v>
      </c>
      <c r="T247">
        <v>241</v>
      </c>
      <c r="U247" t="str">
        <f>_xlfn.IFNA(_xlfn.IFS(E247&gt;Dash!$D$46, "Big", E247&lt;Dash!$D$49, "Small", E247&gt;Dash!$D$47, "Good"), "Norm")</f>
        <v>Norm</v>
      </c>
      <c r="V247" t="s">
        <v>33</v>
      </c>
      <c r="W247">
        <v>405.25</v>
      </c>
      <c r="X247" t="s">
        <v>14</v>
      </c>
    </row>
    <row r="248" spans="1:24" x14ac:dyDescent="0.25">
      <c r="A248" s="1">
        <v>45622</v>
      </c>
      <c r="B248" t="s">
        <v>19</v>
      </c>
      <c r="C248" t="s">
        <v>24</v>
      </c>
      <c r="D248" t="s">
        <v>46</v>
      </c>
      <c r="E248">
        <v>121</v>
      </c>
      <c r="F248">
        <v>2000</v>
      </c>
      <c r="G248">
        <v>2000</v>
      </c>
      <c r="J248" t="s">
        <v>37</v>
      </c>
      <c r="K248" t="s">
        <v>31</v>
      </c>
      <c r="L248" t="s">
        <v>35</v>
      </c>
      <c r="M248" t="s">
        <v>19</v>
      </c>
      <c r="N248">
        <v>5</v>
      </c>
      <c r="R248" t="s">
        <v>13</v>
      </c>
      <c r="S248" t="s">
        <v>14</v>
      </c>
      <c r="T248">
        <v>289.75</v>
      </c>
      <c r="U248" t="str">
        <f>_xlfn.IFNA(_xlfn.IFS(E248&gt;Dash!$D$46, "Big", E248&lt;Dash!$D$49, "Small", E248&gt;Dash!$D$47, "Good"), "Norm")</f>
        <v>Small</v>
      </c>
      <c r="V248" t="s">
        <v>33</v>
      </c>
      <c r="W248">
        <v>300.75</v>
      </c>
      <c r="X248" t="s">
        <v>43</v>
      </c>
    </row>
  </sheetData>
  <sortState xmlns:xlrd2="http://schemas.microsoft.com/office/spreadsheetml/2017/richdata2" ref="A4:W44">
    <sortCondition ref="D4:D44"/>
  </sortState>
  <conditionalFormatting sqref="B4:B248 M214:M1048576">
    <cfRule type="containsText" dxfId="150" priority="115" operator="containsText" text="Friday">
      <formula>NOT(ISERROR(SEARCH("Friday",B4)))</formula>
    </cfRule>
  </conditionalFormatting>
  <conditionalFormatting sqref="B4:B248 M4:O248 M214:M1048576">
    <cfRule type="containsText" dxfId="149" priority="116" operator="containsText" text="Thursday">
      <formula>NOT(ISERROR(SEARCH("Thursday",B4)))</formula>
    </cfRule>
    <cfRule type="containsText" dxfId="148" priority="117" operator="containsText" text="Wednesday">
      <formula>NOT(ISERROR(SEARCH("Wednesday",B4)))</formula>
    </cfRule>
    <cfRule type="containsText" dxfId="147" priority="118" operator="containsText" text="Tuesday">
      <formula>NOT(ISERROR(SEARCH("Tuesday",B4)))</formula>
    </cfRule>
    <cfRule type="containsText" dxfId="146" priority="119" operator="containsText" text="Monday">
      <formula>NOT(ISERROR(SEARCH("Monday",B4)))</formula>
    </cfRule>
  </conditionalFormatting>
  <conditionalFormatting sqref="C1:C1048576">
    <cfRule type="containsText" dxfId="145" priority="14" operator="containsText" text="Lon Wall">
      <formula>NOT(ISERROR(SEARCH("Lon Wall",C1)))</formula>
    </cfRule>
    <cfRule type="containsText" dxfId="144" priority="15" operator="containsText" text="Asia Wall">
      <formula>NOT(ISERROR(SEARCH("Asia Wall",C1)))</formula>
    </cfRule>
    <cfRule type="containsText" dxfId="143" priority="11" operator="containsText" text="NY Z Day">
      <formula>NOT(ISERROR(SEARCH("NY Z Day",C1)))</formula>
    </cfRule>
    <cfRule type="containsText" dxfId="142" priority="12" operator="containsText" text="Lon Pivot">
      <formula>NOT(ISERROR(SEARCH("Lon Pivot",C1)))</formula>
    </cfRule>
    <cfRule type="containsText" dxfId="141" priority="13" operator="containsText" text="Screamer">
      <formula>NOT(ISERROR(SEARCH("Screamer",C1)))</formula>
    </cfRule>
  </conditionalFormatting>
  <conditionalFormatting sqref="M1:O3">
    <cfRule type="containsText" dxfId="140" priority="7" operator="containsText" text="Thursday">
      <formula>NOT(ISERROR(SEARCH("Thursday",M1)))</formula>
    </cfRule>
    <cfRule type="containsText" dxfId="139" priority="8" operator="containsText" text="Wednesday">
      <formula>NOT(ISERROR(SEARCH("Wednesday",M1)))</formula>
    </cfRule>
    <cfRule type="containsText" dxfId="138" priority="9" operator="containsText" text="Tuesday">
      <formula>NOT(ISERROR(SEARCH("Tuesday",M1)))</formula>
    </cfRule>
    <cfRule type="containsText" dxfId="137" priority="10" operator="containsText" text="Monday">
      <formula>NOT(ISERROR(SEARCH("Monday",M1)))</formula>
    </cfRule>
  </conditionalFormatting>
  <conditionalFormatting sqref="M1:O248">
    <cfRule type="containsText" dxfId="136" priority="6" operator="containsText" text="Friday">
      <formula>NOT(ISERROR(SEARCH("Friday",M1)))</formula>
    </cfRule>
  </conditionalFormatting>
  <conditionalFormatting sqref="P1:Q3 J1:L1048576">
    <cfRule type="containsText" dxfId="135" priority="18" operator="containsText" text="NYO">
      <formula>NOT(ISERROR(SEARCH("NYO",J1)))</formula>
    </cfRule>
    <cfRule type="containsText" dxfId="134" priority="16" operator="containsText" text="NYAH">
      <formula>NOT(ISERROR(SEARCH("NYAH",J1)))</formula>
    </cfRule>
    <cfRule type="containsText" dxfId="133" priority="17" operator="containsText" text="NYA">
      <formula>NOT(ISERROR(SEARCH("NYA",J1)))</formula>
    </cfRule>
    <cfRule type="containsText" dxfId="132" priority="19" operator="containsText" text="Inside">
      <formula>NOT(ISERROR(SEARCH("Inside",J1)))</formula>
    </cfRule>
    <cfRule type="containsText" dxfId="131" priority="20" operator="containsText" text="Asia">
      <formula>NOT(ISERROR(SEARCH("Asia",J1)))</formula>
    </cfRule>
    <cfRule type="containsText" dxfId="130" priority="21" operator="containsText" text="Lon">
      <formula>NOT(ISERROR(SEARCH("Lon",J1)))</formula>
    </cfRule>
  </conditionalFormatting>
  <conditionalFormatting sqref="R1:R3">
    <cfRule type="containsText" dxfId="129" priority="5" operator="containsText" text="Monday">
      <formula>NOT(ISERROR(SEARCH("Monday",R1)))</formula>
    </cfRule>
    <cfRule type="containsText" dxfId="128" priority="1" operator="containsText" text="Friday">
      <formula>NOT(ISERROR(SEARCH("Friday",R1)))</formula>
    </cfRule>
    <cfRule type="containsText" dxfId="127" priority="2" operator="containsText" text="Thursday">
      <formula>NOT(ISERROR(SEARCH("Thursday",R1)))</formula>
    </cfRule>
    <cfRule type="containsText" dxfId="126" priority="3" operator="containsText" text="Wednesday">
      <formula>NOT(ISERROR(SEARCH("Wednesday",R1)))</formula>
    </cfRule>
    <cfRule type="containsText" dxfId="125" priority="4" operator="containsText" text="Tuesday">
      <formula>NOT(ISERROR(SEARCH("Tuesday",R1)))</formula>
    </cfRule>
  </conditionalFormatting>
  <conditionalFormatting sqref="R4:R248">
    <cfRule type="containsText" dxfId="124" priority="120" operator="containsText" text="NY Z Day">
      <formula>NOT(ISERROR(SEARCH("NY Z Day",R4)))</formula>
    </cfRule>
    <cfRule type="containsText" dxfId="123" priority="121" operator="containsText" text="Lon Pivot">
      <formula>NOT(ISERROR(SEARCH("Lon Pivot",R4)))</formula>
    </cfRule>
    <cfRule type="containsText" dxfId="122" priority="122" operator="containsText" text="Screamer">
      <formula>NOT(ISERROR(SEARCH("Screamer",R4)))</formula>
    </cfRule>
    <cfRule type="containsText" dxfId="121" priority="123" operator="containsText" text="Lon Wall">
      <formula>NOT(ISERROR(SEARCH("Lon Wall",R4)))</formula>
    </cfRule>
    <cfRule type="containsText" dxfId="120" priority="124" operator="containsText" text="Asia Wall">
      <formula>NOT(ISERROR(SEARCH("Asia Wall",R4)))</formula>
    </cfRule>
  </conditionalFormatting>
  <conditionalFormatting sqref="U4:U248">
    <cfRule type="cellIs" dxfId="119" priority="24" operator="equal">
      <formula>"Small"</formula>
    </cfRule>
    <cfRule type="cellIs" dxfId="118" priority="22" operator="equal">
      <formula>"Good"</formula>
    </cfRule>
    <cfRule type="cellIs" dxfId="117" priority="23" operator="equal">
      <formula>"Big"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2024 NQ H1 Profiles MASTER</vt:lpstr>
      <vt:lpstr>Printing</vt:lpstr>
      <vt:lpstr>Dash</vt:lpstr>
      <vt:lpstr>Scr</vt:lpstr>
      <vt:lpstr>LP</vt:lpstr>
      <vt:lpstr>ZD</vt:lpstr>
      <vt:lpstr>Wall</vt:lpstr>
      <vt:lpstr>1s</vt:lpstr>
      <vt:lpstr>2s</vt:lpstr>
      <vt:lpstr>3s</vt:lpstr>
      <vt:lpstr>4s</vt:lpstr>
      <vt:lpstr>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Sullivan</dc:creator>
  <cp:lastModifiedBy>Dave Sullivan</cp:lastModifiedBy>
  <cp:lastPrinted>2025-02-14T16:50:08Z</cp:lastPrinted>
  <dcterms:created xsi:type="dcterms:W3CDTF">2025-01-27T13:06:00Z</dcterms:created>
  <dcterms:modified xsi:type="dcterms:W3CDTF">2025-02-14T22:59:44Z</dcterms:modified>
</cp:coreProperties>
</file>