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D:\Toastmasters\Exec Mtg\2025_26Accts\"/>
    </mc:Choice>
  </mc:AlternateContent>
  <xr:revisionPtr revIDLastSave="0" documentId="8_{358657E0-5B24-47CD-9FEB-97C4A3EFDB95}" xr6:coauthVersionLast="47" xr6:coauthVersionMax="47" xr10:uidLastSave="{00000000-0000-0000-0000-000000000000}"/>
  <bookViews>
    <workbookView xWindow="1560" yWindow="1560" windowWidth="14145" windowHeight="7785" firstSheet="7" activeTab="7" xr2:uid="{00000000-000D-0000-FFFF-FFFF00000000}"/>
  </bookViews>
  <sheets>
    <sheet name="Instructions" sheetId="12" state="hidden" r:id="rId1"/>
    <sheet name="Assumptions" sheetId="2" state="hidden" r:id="rId2"/>
    <sheet name="Membership" sheetId="13" r:id="rId3"/>
    <sheet name="ExchRates" sheetId="19" r:id="rId4"/>
    <sheet name="SchOfMtgs" sheetId="16" r:id="rId5"/>
    <sheet name="Forecast" sheetId="1" state="hidden" r:id="rId6"/>
    <sheet name="Margin Calcs" sheetId="18" r:id="rId7"/>
    <sheet name="&quot;Actual" sheetId="15" r:id="rId8"/>
    <sheet name="BankDloads" sheetId="20" r:id="rId9"/>
    <sheet name="DbStmts20251107115655 (2)" sheetId="22" state="hidden" r:id="rId10"/>
    <sheet name="&quot;Forecast" sheetId="14" r:id="rId11"/>
    <sheet name="Actual" sheetId="9" state="hidden" r:id="rId12"/>
    <sheet name="Fixed Assets" sheetId="17" r:id="rId13"/>
    <sheet name="BalanceSheets" sheetId="6" state="hidden" r:id="rId14"/>
    <sheet name="Months" sheetId="10" state="hidden" r:id="rId15"/>
  </sheets>
  <definedNames>
    <definedName name="BankDloads">BDloads[#All]</definedName>
    <definedName name="FilterCells">1000</definedName>
    <definedName name="LoanMonths">Forecast!$C$7:$AO$7</definedName>
    <definedName name="MonthList">Forecast!$C$7:$N$7,Forecast!$P$7:$AA$7,Forecast!$AC$7:$AN$7</definedName>
    <definedName name="Months">Months!$A$3:$A$38</definedName>
    <definedName name="_xlnm.Print_Area" localSheetId="11">Actual!$B$1:$AO$66</definedName>
    <definedName name="_xlnm.Print_Area" localSheetId="13">BalanceSheets!$B$1:$AM$43</definedName>
    <definedName name="_xlnm.Print_Area" localSheetId="5">Forecast!$B$1:$AO$67</definedName>
    <definedName name="_xlnm.Print_Titles" localSheetId="11">Actual!$B:$B</definedName>
    <definedName name="_xlnm.Print_Titles" localSheetId="13">BalanceSheets!$B:$B</definedName>
    <definedName name="_xlnm.Print_Titles" localSheetId="5">Forecast!$B:$B</definedName>
    <definedName name="_xlnm.Print_Titles" localSheetId="0">Instructions!$1:$4</definedName>
    <definedName name="solver_adj" localSheetId="10" hidden="1">'"Forecast'!$E$18</definedName>
    <definedName name="solver_cvg" localSheetId="10" hidden="1">0.0001</definedName>
    <definedName name="solver_drv" localSheetId="10" hidden="1">2</definedName>
    <definedName name="solver_eng" localSheetId="10" hidden="1">1</definedName>
    <definedName name="solver_est" localSheetId="10" hidden="1">1</definedName>
    <definedName name="solver_itr" localSheetId="10" hidden="1">2147483647</definedName>
    <definedName name="solver_lhs1" localSheetId="10" hidden="1">'"Forecast'!$E$22</definedName>
    <definedName name="solver_mip" localSheetId="10" hidden="1">2147483647</definedName>
    <definedName name="solver_mni" localSheetId="10" hidden="1">30</definedName>
    <definedName name="solver_mrt" localSheetId="10" hidden="1">0.075</definedName>
    <definedName name="solver_msl" localSheetId="10" hidden="1">2</definedName>
    <definedName name="solver_neg" localSheetId="10" hidden="1">1</definedName>
    <definedName name="solver_nod" localSheetId="10" hidden="1">2147483647</definedName>
    <definedName name="solver_num" localSheetId="10" hidden="1">0</definedName>
    <definedName name="solver_nwt" localSheetId="10" hidden="1">1</definedName>
    <definedName name="solver_opt" localSheetId="10" hidden="1">'"Forecast'!$K$29</definedName>
    <definedName name="solver_pre" localSheetId="10" hidden="1">0.000001</definedName>
    <definedName name="solver_rbv" localSheetId="10" hidden="1">2</definedName>
    <definedName name="solver_rel1" localSheetId="10" hidden="1">1</definedName>
    <definedName name="solver_rhs1" localSheetId="10" hidden="1">-20</definedName>
    <definedName name="solver_rlx" localSheetId="10" hidden="1">2</definedName>
    <definedName name="solver_rsd" localSheetId="10" hidden="1">0</definedName>
    <definedName name="solver_scl" localSheetId="10" hidden="1">2</definedName>
    <definedName name="solver_sho" localSheetId="10" hidden="1">2</definedName>
    <definedName name="solver_ssz" localSheetId="10" hidden="1">100</definedName>
    <definedName name="solver_tim" localSheetId="10" hidden="1">2147483647</definedName>
    <definedName name="solver_tol" localSheetId="10" hidden="1">0.01</definedName>
    <definedName name="solver_typ" localSheetId="10" hidden="1">3</definedName>
    <definedName name="solver_val" localSheetId="10" hidden="1">1600</definedName>
    <definedName name="solver_ver" localSheetId="10" hidden="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15" l="1"/>
  <c r="Q14" i="15"/>
  <c r="E10" i="15" a="1"/>
  <c r="E10" i="15"/>
  <c r="E11" i="15" a="1"/>
  <c r="E11" i="15"/>
  <c r="E12" i="15" a="1"/>
  <c r="E12" i="15"/>
  <c r="E13" i="15" a="1"/>
  <c r="E13" i="15"/>
  <c r="E14" i="15" a="1"/>
  <c r="E14" i="15"/>
  <c r="E15" i="15" a="1"/>
  <c r="E15" i="15"/>
  <c r="E16" i="15" a="1"/>
  <c r="E16" i="15"/>
  <c r="E17" i="15" a="1"/>
  <c r="E17" i="15"/>
  <c r="E18" i="15" a="1"/>
  <c r="E18" i="15"/>
  <c r="E19" i="15" a="1"/>
  <c r="E19" i="15"/>
  <c r="E20" i="15" a="1"/>
  <c r="E20" i="15"/>
  <c r="E9" i="15" a="1"/>
  <c r="E9" i="15"/>
  <c r="D18" i="15"/>
  <c r="D15" i="15"/>
  <c r="C20" i="15"/>
  <c r="C8" i="15"/>
  <c r="V8" i="18"/>
  <c r="T6" i="18"/>
  <c r="S6" i="18"/>
  <c r="T8" i="18"/>
  <c r="S8" i="18"/>
  <c r="I7" i="18"/>
  <c r="L7" i="18"/>
  <c r="E21" i="14"/>
  <c r="K32" i="14"/>
  <c r="B7" i="19"/>
  <c r="B6" i="19"/>
  <c r="B5" i="19"/>
  <c r="B4" i="19"/>
  <c r="B3" i="19"/>
  <c r="B2" i="19"/>
  <c r="K34" i="14"/>
  <c r="M34" i="14" s="1"/>
  <c r="O34" i="14" s="1"/>
  <c r="K24" i="14"/>
  <c r="K22" i="14"/>
  <c r="H24" i="14"/>
  <c r="I24" i="14"/>
  <c r="J24" i="14"/>
  <c r="L24" i="14"/>
  <c r="G24" i="14"/>
  <c r="L6" i="18"/>
  <c r="L5" i="18"/>
  <c r="L4" i="18"/>
  <c r="L3" i="18"/>
  <c r="B17" i="18"/>
  <c r="B16" i="18"/>
  <c r="H7" i="18"/>
  <c r="D7" i="18"/>
  <c r="B7" i="18"/>
  <c r="D21" i="14"/>
  <c r="E24" i="14"/>
  <c r="D24" i="14"/>
  <c r="C24" i="14"/>
  <c r="I9" i="18"/>
  <c r="H9" i="18"/>
  <c r="D17" i="18"/>
  <c r="D16" i="18"/>
  <c r="D26" i="14"/>
  <c r="D9" i="18"/>
  <c r="D12" i="18" s="1"/>
  <c r="D19" i="18" s="1"/>
  <c r="B9" i="18"/>
  <c r="B12" i="18" s="1"/>
  <c r="B19" i="18" s="1"/>
  <c r="D22" i="14"/>
  <c r="D14" i="14"/>
  <c r="D15" i="14"/>
  <c r="P18" i="14" a="1"/>
  <c r="P18" i="14"/>
  <c r="L21" i="14"/>
  <c r="L14" i="14"/>
  <c r="O24" i="14"/>
  <c r="N24" i="14"/>
  <c r="M24" i="14"/>
  <c r="F24" i="14"/>
  <c r="O22" i="14"/>
  <c r="N22" i="14"/>
  <c r="M22" i="14"/>
  <c r="L22" i="14"/>
  <c r="J22" i="14"/>
  <c r="I22" i="14"/>
  <c r="H22" i="14"/>
  <c r="G22" i="14"/>
  <c r="F22" i="14"/>
  <c r="E22" i="14"/>
  <c r="C22" i="14"/>
  <c r="O15" i="15"/>
  <c r="O8" i="15"/>
  <c r="O6" i="15"/>
  <c r="D11" i="15"/>
  <c r="F11" i="15"/>
  <c r="G11" i="15"/>
  <c r="H11" i="15"/>
  <c r="I11" i="15"/>
  <c r="J11" i="15"/>
  <c r="K11" i="15"/>
  <c r="L11" i="15"/>
  <c r="M11" i="15"/>
  <c r="N11" i="15"/>
  <c r="O11" i="15"/>
  <c r="BC11" i="15"/>
  <c r="BD11" i="15"/>
  <c r="BE11" i="15"/>
  <c r="BF11" i="15"/>
  <c r="BG11" i="15"/>
  <c r="BH11" i="15"/>
  <c r="BI11" i="15"/>
  <c r="BJ11" i="15"/>
  <c r="BK11" i="15"/>
  <c r="BL11" i="15"/>
  <c r="F18" i="15"/>
  <c r="G18" i="15"/>
  <c r="H18" i="15"/>
  <c r="I18" i="15"/>
  <c r="J18" i="15"/>
  <c r="K18" i="15"/>
  <c r="L18" i="15"/>
  <c r="M18" i="15"/>
  <c r="N18" i="15"/>
  <c r="O18" i="15"/>
  <c r="E21" i="15"/>
  <c r="F16" i="15"/>
  <c r="F21" i="15" s="1"/>
  <c r="G16" i="15"/>
  <c r="G21" i="15" s="1"/>
  <c r="H16" i="15"/>
  <c r="H21" i="15" s="1"/>
  <c r="I16" i="15"/>
  <c r="I21" i="15" s="1"/>
  <c r="J16" i="15"/>
  <c r="J21" i="15" s="1"/>
  <c r="K16" i="15"/>
  <c r="K21" i="15" s="1"/>
  <c r="L16" i="15"/>
  <c r="L21" i="15" s="1"/>
  <c r="M16" i="15"/>
  <c r="M21" i="15" s="1"/>
  <c r="N16" i="15"/>
  <c r="N21" i="15" s="1"/>
  <c r="D21" i="15"/>
  <c r="O16" i="15"/>
  <c r="O21" i="15" s="1"/>
  <c r="C21" i="15"/>
  <c r="C11" i="15"/>
  <c r="C7" i="15"/>
  <c r="F7" i="15" s="1"/>
  <c r="G7" i="15" s="1"/>
  <c r="H7" i="15" s="1"/>
  <c r="I7" i="15" s="1"/>
  <c r="J7" i="15" s="1"/>
  <c r="K7" i="15" s="1"/>
  <c r="L7" i="15" s="1"/>
  <c r="M7" i="15" s="1"/>
  <c r="N7" i="15" s="1"/>
  <c r="D18" i="14"/>
  <c r="L18" i="14"/>
  <c r="M18" i="14"/>
  <c r="N18" i="14"/>
  <c r="O18" i="14"/>
  <c r="C18" i="14"/>
  <c r="O27" i="14"/>
  <c r="N27" i="14"/>
  <c r="M27" i="14"/>
  <c r="L27" i="14"/>
  <c r="J27" i="14"/>
  <c r="I27" i="14"/>
  <c r="H27" i="14"/>
  <c r="G27" i="14"/>
  <c r="F27" i="14"/>
  <c r="E27" i="14"/>
  <c r="D27" i="14"/>
  <c r="B3" i="14"/>
  <c r="D18" i="1"/>
  <c r="I12" i="1"/>
  <c r="J12" i="1"/>
  <c r="K12" i="1"/>
  <c r="L12" i="1"/>
  <c r="M12" i="1"/>
  <c r="N12" i="1"/>
  <c r="C12" i="1"/>
  <c r="E15" i="1"/>
  <c r="E8" i="1"/>
  <c r="N16" i="1"/>
  <c r="M16" i="1"/>
  <c r="L16" i="1"/>
  <c r="K16" i="1"/>
  <c r="J16" i="1"/>
  <c r="I16" i="1"/>
  <c r="H16" i="1"/>
  <c r="G16" i="1"/>
  <c r="F16" i="1"/>
  <c r="E16" i="1"/>
  <c r="D16" i="1"/>
  <c r="D21" i="1" s="1"/>
  <c r="D25" i="1" s="1"/>
  <c r="B29" i="2"/>
  <c r="C16" i="1"/>
  <c r="C18" i="1"/>
  <c r="O22" i="9"/>
  <c r="AB22" i="9"/>
  <c r="AO22" i="9"/>
  <c r="AN45" i="9"/>
  <c r="AM45" i="9"/>
  <c r="AL45" i="9"/>
  <c r="AK45" i="9"/>
  <c r="AJ45" i="9"/>
  <c r="AI45" i="9"/>
  <c r="AH45" i="9"/>
  <c r="AG45" i="9"/>
  <c r="AF45" i="9"/>
  <c r="AE45" i="9"/>
  <c r="AD45" i="9"/>
  <c r="AC45" i="9"/>
  <c r="AA45" i="9"/>
  <c r="Z45" i="9"/>
  <c r="Y45" i="9"/>
  <c r="X45" i="9"/>
  <c r="W45" i="9"/>
  <c r="V45" i="9"/>
  <c r="U45" i="9"/>
  <c r="T45" i="9"/>
  <c r="S45" i="9"/>
  <c r="R45" i="9"/>
  <c r="Q45" i="9"/>
  <c r="P45" i="9"/>
  <c r="N45" i="9"/>
  <c r="M45" i="9"/>
  <c r="L45" i="9"/>
  <c r="K45" i="9"/>
  <c r="J45" i="9"/>
  <c r="I45" i="9"/>
  <c r="H45" i="9"/>
  <c r="G45" i="9"/>
  <c r="F45" i="9"/>
  <c r="E45" i="9"/>
  <c r="D45" i="9"/>
  <c r="C47" i="6"/>
  <c r="C18" i="6"/>
  <c r="C41" i="6"/>
  <c r="K27" i="14" l="1"/>
  <c r="C23" i="15"/>
  <c r="P22" i="14"/>
  <c r="P27" i="14" s="1"/>
  <c r="C27" i="14"/>
  <c r="O23" i="15"/>
  <c r="D6" i="15"/>
  <c r="O7" i="15"/>
  <c r="C21" i="1"/>
  <c r="C48" i="6"/>
  <c r="D23" i="15" l="1"/>
  <c r="E6" i="15" s="1"/>
  <c r="E23" i="15" s="1"/>
  <c r="F6" i="15" s="1"/>
  <c r="F23" i="15" s="1"/>
  <c r="G6" i="15" s="1"/>
  <c r="G23" i="15" s="1"/>
  <c r="H6" i="15" s="1"/>
  <c r="H23" i="15" s="1"/>
  <c r="I6" i="15" s="1"/>
  <c r="I23" i="15" s="1"/>
  <c r="J6" i="15" s="1"/>
  <c r="J23" i="15" s="1"/>
  <c r="K6" i="15" s="1"/>
  <c r="K23" i="15" s="1"/>
  <c r="L6" i="15" s="1"/>
  <c r="L23" i="15" s="1"/>
  <c r="M6" i="15" s="1"/>
  <c r="M23" i="15" s="1"/>
  <c r="N6" i="15" s="1"/>
  <c r="N23" i="15" s="1"/>
  <c r="C29" i="14"/>
  <c r="D12" i="14" s="1"/>
  <c r="D29" i="14" s="1"/>
  <c r="E12" i="14" s="1"/>
  <c r="E29" i="14" s="1"/>
  <c r="B24" i="6"/>
  <c r="B1" i="6"/>
  <c r="AN53" i="9"/>
  <c r="AM53" i="9"/>
  <c r="AL53" i="9"/>
  <c r="AK53" i="9"/>
  <c r="AJ53" i="9"/>
  <c r="AI53" i="9"/>
  <c r="AH53" i="9"/>
  <c r="AG53" i="9"/>
  <c r="AF53" i="9"/>
  <c r="AE53" i="9"/>
  <c r="AD53" i="9"/>
  <c r="AC53" i="9"/>
  <c r="AA53" i="9"/>
  <c r="Z53" i="9"/>
  <c r="Y53" i="9"/>
  <c r="X53" i="9"/>
  <c r="W53" i="9"/>
  <c r="V53" i="9"/>
  <c r="U53" i="9"/>
  <c r="T53" i="9"/>
  <c r="S53" i="9"/>
  <c r="R53" i="9"/>
  <c r="Q53" i="9"/>
  <c r="P53" i="9"/>
  <c r="N53" i="9"/>
  <c r="M53" i="9"/>
  <c r="L53" i="9"/>
  <c r="K53" i="9"/>
  <c r="J53" i="9"/>
  <c r="I53" i="9"/>
  <c r="H53" i="9"/>
  <c r="G53" i="9"/>
  <c r="F53" i="9"/>
  <c r="E53" i="9"/>
  <c r="D53" i="9"/>
  <c r="C53" i="9"/>
  <c r="AN41" i="9"/>
  <c r="AM41" i="9"/>
  <c r="AL41" i="9"/>
  <c r="AK41" i="9"/>
  <c r="AJ41" i="9"/>
  <c r="AI41" i="9"/>
  <c r="AH41" i="9"/>
  <c r="AG41" i="9"/>
  <c r="AF41" i="9"/>
  <c r="AE41" i="9"/>
  <c r="AD41" i="9"/>
  <c r="AC41" i="9"/>
  <c r="AO41" i="9"/>
  <c r="AA41" i="9"/>
  <c r="Z41" i="9"/>
  <c r="Y41" i="9"/>
  <c r="X41" i="9"/>
  <c r="W41" i="9"/>
  <c r="V41" i="9"/>
  <c r="U41" i="9"/>
  <c r="T41" i="9"/>
  <c r="S41" i="9"/>
  <c r="R41" i="9"/>
  <c r="Q41" i="9"/>
  <c r="P41" i="9"/>
  <c r="AB41" i="9" s="1"/>
  <c r="N41" i="9"/>
  <c r="M41" i="9"/>
  <c r="L41" i="9"/>
  <c r="K41" i="9"/>
  <c r="J41" i="9"/>
  <c r="I41" i="9"/>
  <c r="H41" i="9"/>
  <c r="G41" i="9"/>
  <c r="F41" i="9"/>
  <c r="E41" i="9"/>
  <c r="D41" i="9"/>
  <c r="AN39" i="9"/>
  <c r="AN48" i="9" s="1"/>
  <c r="AM39" i="9"/>
  <c r="AM48" i="9" s="1"/>
  <c r="AL39" i="9"/>
  <c r="AL48" i="9" s="1"/>
  <c r="AK39" i="9"/>
  <c r="AK48" i="9"/>
  <c r="AJ39" i="9"/>
  <c r="AJ48" i="9" s="1"/>
  <c r="AI39" i="9"/>
  <c r="AI48" i="9"/>
  <c r="AH39" i="9"/>
  <c r="AH48" i="9" s="1"/>
  <c r="AG39" i="9"/>
  <c r="AG48" i="9"/>
  <c r="AF39" i="9"/>
  <c r="AF48" i="9" s="1"/>
  <c r="AE39" i="9"/>
  <c r="AE48" i="9" s="1"/>
  <c r="AD39" i="9"/>
  <c r="AD48" i="9" s="1"/>
  <c r="AC39" i="9"/>
  <c r="AC48" i="9"/>
  <c r="AA39" i="9"/>
  <c r="AA48" i="9"/>
  <c r="Z39" i="9"/>
  <c r="Z48" i="9" s="1"/>
  <c r="Y39" i="9"/>
  <c r="Y48" i="9"/>
  <c r="X39" i="9"/>
  <c r="X48" i="9" s="1"/>
  <c r="W39" i="9"/>
  <c r="W48" i="9"/>
  <c r="V39" i="9"/>
  <c r="V48" i="9" s="1"/>
  <c r="U39" i="9"/>
  <c r="U48" i="9"/>
  <c r="T39" i="9"/>
  <c r="T48" i="9" s="1"/>
  <c r="S39" i="9"/>
  <c r="S48" i="9"/>
  <c r="R39" i="9"/>
  <c r="R48" i="9" s="1"/>
  <c r="Q39" i="9"/>
  <c r="Q48" i="9"/>
  <c r="P39" i="9"/>
  <c r="P48" i="9" s="1"/>
  <c r="N39" i="9"/>
  <c r="N48" i="9"/>
  <c r="M39" i="9"/>
  <c r="M48" i="9" s="1"/>
  <c r="L39" i="9"/>
  <c r="L48" i="9" s="1"/>
  <c r="K39" i="9"/>
  <c r="K48" i="9" s="1"/>
  <c r="J39" i="9"/>
  <c r="J48" i="9"/>
  <c r="I39" i="9"/>
  <c r="I48" i="9" s="1"/>
  <c r="H39" i="9"/>
  <c r="H48" i="9" s="1"/>
  <c r="G39" i="9"/>
  <c r="G48" i="9" s="1"/>
  <c r="F39" i="9"/>
  <c r="F48" i="9" s="1"/>
  <c r="E39" i="9"/>
  <c r="E48" i="9" s="1"/>
  <c r="D39" i="9"/>
  <c r="D48" i="9" s="1"/>
  <c r="AN38" i="9"/>
  <c r="AN47" i="9" s="1"/>
  <c r="AM38" i="9"/>
  <c r="AM47" i="9"/>
  <c r="AL38" i="9"/>
  <c r="AL47" i="9" s="1"/>
  <c r="AK38" i="9"/>
  <c r="AK47" i="9" s="1"/>
  <c r="AJ38" i="9"/>
  <c r="AJ47" i="9" s="1"/>
  <c r="AI38" i="9"/>
  <c r="AI47" i="9" s="1"/>
  <c r="AH38" i="9"/>
  <c r="AH47" i="9" s="1"/>
  <c r="AG38" i="9"/>
  <c r="AG47" i="9"/>
  <c r="AF38" i="9"/>
  <c r="AF47" i="9" s="1"/>
  <c r="AE38" i="9"/>
  <c r="AE47" i="9"/>
  <c r="AD38" i="9"/>
  <c r="AD47" i="9" s="1"/>
  <c r="AC38" i="9"/>
  <c r="AC47" i="9" s="1"/>
  <c r="AA38" i="9"/>
  <c r="AA47" i="9"/>
  <c r="Z38" i="9"/>
  <c r="Z47" i="9" s="1"/>
  <c r="Y38" i="9"/>
  <c r="Y47" i="9"/>
  <c r="X38" i="9"/>
  <c r="X47" i="9" s="1"/>
  <c r="W38" i="9"/>
  <c r="W47" i="9"/>
  <c r="V38" i="9"/>
  <c r="V47" i="9" s="1"/>
  <c r="U38" i="9"/>
  <c r="U47" i="9"/>
  <c r="T38" i="9"/>
  <c r="T47" i="9" s="1"/>
  <c r="S38" i="9"/>
  <c r="S47" i="9"/>
  <c r="R38" i="9"/>
  <c r="R47" i="9" s="1"/>
  <c r="Q38" i="9"/>
  <c r="Q47" i="9"/>
  <c r="P38" i="9"/>
  <c r="P47" i="9" s="1"/>
  <c r="N38" i="9"/>
  <c r="N47" i="9" s="1"/>
  <c r="M38" i="9"/>
  <c r="M47" i="9" s="1"/>
  <c r="L38" i="9"/>
  <c r="L47" i="9"/>
  <c r="K38" i="9"/>
  <c r="K47" i="9" s="1"/>
  <c r="J38" i="9"/>
  <c r="J47" i="9" s="1"/>
  <c r="I38" i="9"/>
  <c r="I47" i="9" s="1"/>
  <c r="H38" i="9"/>
  <c r="H47" i="9"/>
  <c r="G38" i="9"/>
  <c r="G47" i="9" s="1"/>
  <c r="F38" i="9"/>
  <c r="F47" i="9" s="1"/>
  <c r="E38" i="9"/>
  <c r="E47" i="9" s="1"/>
  <c r="D38" i="9"/>
  <c r="D47" i="9" s="1"/>
  <c r="C41" i="9"/>
  <c r="C39" i="9"/>
  <c r="C38" i="9"/>
  <c r="C47" i="9" s="1"/>
  <c r="C35" i="9"/>
  <c r="D35" i="9" s="1"/>
  <c r="E35" i="9" s="1"/>
  <c r="F35" i="9" s="1"/>
  <c r="G35" i="9" s="1"/>
  <c r="H35" i="9" s="1"/>
  <c r="I35" i="9" s="1"/>
  <c r="J35" i="9" s="1"/>
  <c r="K35" i="9" s="1"/>
  <c r="L35" i="9" s="1"/>
  <c r="M35" i="9" s="1"/>
  <c r="N35" i="9" s="1"/>
  <c r="P35" i="9" s="1"/>
  <c r="Q35" i="9" s="1"/>
  <c r="R35" i="9" s="1"/>
  <c r="S35" i="9" s="1"/>
  <c r="T35" i="9" s="1"/>
  <c r="U35" i="9" s="1"/>
  <c r="V35" i="9" s="1"/>
  <c r="W35" i="9" s="1"/>
  <c r="X35" i="9" s="1"/>
  <c r="Y35" i="9" s="1"/>
  <c r="Z35" i="9" s="1"/>
  <c r="AA35" i="9" s="1"/>
  <c r="B32" i="9"/>
  <c r="B1" i="9"/>
  <c r="AN54" i="1"/>
  <c r="AM54" i="1"/>
  <c r="AL54" i="1"/>
  <c r="AK54" i="1"/>
  <c r="AJ54" i="1"/>
  <c r="AI54" i="1"/>
  <c r="AH54" i="1"/>
  <c r="AG54" i="1"/>
  <c r="AF54" i="1"/>
  <c r="AE54" i="1"/>
  <c r="AD54" i="1"/>
  <c r="AC54" i="1"/>
  <c r="AA54" i="1"/>
  <c r="Z54" i="1"/>
  <c r="Y54" i="1"/>
  <c r="X54" i="1"/>
  <c r="W54" i="1"/>
  <c r="V54" i="1"/>
  <c r="U54" i="1"/>
  <c r="T54" i="1"/>
  <c r="S54" i="1"/>
  <c r="R54" i="1"/>
  <c r="Q54" i="1"/>
  <c r="P54" i="1"/>
  <c r="N54" i="1"/>
  <c r="M54" i="1"/>
  <c r="L54" i="1"/>
  <c r="K54" i="1"/>
  <c r="J54" i="1"/>
  <c r="I54" i="1"/>
  <c r="H54" i="1"/>
  <c r="G54" i="1"/>
  <c r="F54" i="1"/>
  <c r="E54" i="1"/>
  <c r="D53" i="1"/>
  <c r="C54" i="1"/>
  <c r="AN42" i="1"/>
  <c r="AM42" i="1"/>
  <c r="AL42" i="1"/>
  <c r="AK42" i="1"/>
  <c r="AJ42" i="1"/>
  <c r="AI42" i="1"/>
  <c r="AH42" i="1"/>
  <c r="AG42" i="1"/>
  <c r="AF42" i="1"/>
  <c r="AE42" i="1"/>
  <c r="AD42" i="1"/>
  <c r="AC42" i="1"/>
  <c r="AO42" i="1"/>
  <c r="AA42" i="1"/>
  <c r="Z42" i="1"/>
  <c r="Y42" i="1"/>
  <c r="X42" i="1"/>
  <c r="W42" i="1"/>
  <c r="V42" i="1"/>
  <c r="U42" i="1"/>
  <c r="T42" i="1"/>
  <c r="S42" i="1"/>
  <c r="R42" i="1"/>
  <c r="Q42" i="1"/>
  <c r="P42" i="1"/>
  <c r="AB42" i="1" s="1"/>
  <c r="N42" i="1"/>
  <c r="M42" i="1"/>
  <c r="L42" i="1"/>
  <c r="K42" i="1"/>
  <c r="J42" i="1"/>
  <c r="I42" i="1"/>
  <c r="H42" i="1"/>
  <c r="G42" i="1"/>
  <c r="F42" i="1"/>
  <c r="E42" i="1"/>
  <c r="D41" i="1"/>
  <c r="C42" i="1"/>
  <c r="C36" i="1"/>
  <c r="D35" i="1" s="1"/>
  <c r="E36" i="1" s="1"/>
  <c r="F36" i="1" s="1"/>
  <c r="G36" i="1" s="1"/>
  <c r="H36" i="1" s="1"/>
  <c r="I36" i="1" s="1"/>
  <c r="J36" i="1" s="1"/>
  <c r="K36" i="1" s="1"/>
  <c r="L36" i="1" s="1"/>
  <c r="M36" i="1" s="1"/>
  <c r="N36" i="1" s="1"/>
  <c r="P36" i="1" s="1"/>
  <c r="Q36" i="1" s="1"/>
  <c r="R36" i="1" s="1"/>
  <c r="S36" i="1" s="1"/>
  <c r="T36" i="1" s="1"/>
  <c r="U36" i="1" s="1"/>
  <c r="V36" i="1" s="1"/>
  <c r="W36" i="1" s="1"/>
  <c r="X36" i="1" s="1"/>
  <c r="Y36" i="1" s="1"/>
  <c r="Z36" i="1" s="1"/>
  <c r="AA36" i="1" s="1"/>
  <c r="B33" i="1"/>
  <c r="A3" i="10"/>
  <c r="D27" i="6"/>
  <c r="E27" i="6" s="1"/>
  <c r="F27" i="6" s="1"/>
  <c r="G27" i="6" s="1"/>
  <c r="H27" i="6" s="1"/>
  <c r="I27" i="6" s="1"/>
  <c r="J27" i="6" s="1"/>
  <c r="K27" i="6" s="1"/>
  <c r="L27" i="6" s="1"/>
  <c r="M27" i="6" s="1"/>
  <c r="N27" i="6" s="1"/>
  <c r="O27" i="6" s="1"/>
  <c r="P27" i="6" s="1"/>
  <c r="Q27" i="6" s="1"/>
  <c r="R27" i="6" s="1"/>
  <c r="S27" i="6" s="1"/>
  <c r="T27" i="6" s="1"/>
  <c r="U27" i="6" s="1"/>
  <c r="V27" i="6" s="1"/>
  <c r="W27" i="6" s="1"/>
  <c r="X27" i="6" s="1"/>
  <c r="Y27" i="6" s="1"/>
  <c r="Z27" i="6" s="1"/>
  <c r="AA27" i="6" s="1"/>
  <c r="AB27" i="6" s="1"/>
  <c r="AC27" i="6" s="1"/>
  <c r="AD27" i="6" s="1"/>
  <c r="AE27" i="6" s="1"/>
  <c r="AF27" i="6" s="1"/>
  <c r="AG27" i="6" s="1"/>
  <c r="AH27" i="6" s="1"/>
  <c r="AI27" i="6" s="1"/>
  <c r="AJ27" i="6" s="1"/>
  <c r="AK27" i="6" s="1"/>
  <c r="AL27" i="6" s="1"/>
  <c r="AM27" i="6" s="1"/>
  <c r="C27" i="6"/>
  <c r="C4" i="6"/>
  <c r="C22" i="6" s="1"/>
  <c r="D4" i="6"/>
  <c r="C6" i="9"/>
  <c r="D6" i="9" s="1"/>
  <c r="E6" i="9" s="1"/>
  <c r="F6" i="9" s="1"/>
  <c r="G6" i="9" s="1"/>
  <c r="H6" i="9" s="1"/>
  <c r="I6" i="9" s="1"/>
  <c r="J6" i="9" s="1"/>
  <c r="K6" i="9" s="1"/>
  <c r="L6" i="9" s="1"/>
  <c r="M6" i="9" s="1"/>
  <c r="N6" i="9" s="1"/>
  <c r="C7" i="1"/>
  <c r="D7" i="1" s="1"/>
  <c r="E7" i="1" s="1"/>
  <c r="AO23" i="1"/>
  <c r="AB23" i="1"/>
  <c r="O23" i="1"/>
  <c r="B1" i="1"/>
  <c r="C23" i="2"/>
  <c r="C17" i="2"/>
  <c r="A1" i="2"/>
  <c r="C42" i="6"/>
  <c r="C19" i="6"/>
  <c r="AN20" i="9"/>
  <c r="AN10" i="9"/>
  <c r="AN43" i="9"/>
  <c r="AN44" i="9"/>
  <c r="AN56" i="9"/>
  <c r="AN58" i="9"/>
  <c r="AM20" i="9"/>
  <c r="AM10" i="9"/>
  <c r="AM58" i="9"/>
  <c r="AM56" i="9"/>
  <c r="AM59" i="9" s="1"/>
  <c r="AM43" i="9"/>
  <c r="AM44" i="9"/>
  <c r="AL20" i="9"/>
  <c r="AL10" i="9"/>
  <c r="AL43" i="9"/>
  <c r="AL44" i="9"/>
  <c r="AL56" i="9"/>
  <c r="AL58" i="9"/>
  <c r="AK20" i="9"/>
  <c r="AK10" i="9"/>
  <c r="AK43" i="9"/>
  <c r="AK44" i="9"/>
  <c r="AK56" i="9"/>
  <c r="AK58" i="9"/>
  <c r="AJ20" i="9"/>
  <c r="AJ10" i="9"/>
  <c r="AJ43" i="9"/>
  <c r="AJ44" i="9"/>
  <c r="AJ56" i="9"/>
  <c r="AJ58" i="9"/>
  <c r="AI20" i="9"/>
  <c r="AI10" i="9"/>
  <c r="AI43" i="9"/>
  <c r="AI44" i="9"/>
  <c r="AI56" i="9"/>
  <c r="AI58" i="9"/>
  <c r="AH20" i="9"/>
  <c r="AH10" i="9"/>
  <c r="AH43" i="9"/>
  <c r="AH44" i="9"/>
  <c r="AH56" i="9"/>
  <c r="AH58" i="9"/>
  <c r="AG20" i="9"/>
  <c r="AG10" i="9"/>
  <c r="AG58" i="9"/>
  <c r="AG56" i="9"/>
  <c r="AG43" i="9"/>
  <c r="AG44" i="9"/>
  <c r="AF20" i="9"/>
  <c r="AF10" i="9"/>
  <c r="AF43" i="9"/>
  <c r="AF44" i="9"/>
  <c r="AF56" i="9"/>
  <c r="AF58" i="9"/>
  <c r="AE20" i="9"/>
  <c r="AE10" i="9"/>
  <c r="AE43" i="9"/>
  <c r="AE44" i="9"/>
  <c r="AE56" i="9"/>
  <c r="AE58" i="9"/>
  <c r="AD20" i="9"/>
  <c r="AD10" i="9"/>
  <c r="AD43" i="9"/>
  <c r="AD44" i="9"/>
  <c r="AD56" i="9"/>
  <c r="AD58" i="9"/>
  <c r="AC20" i="9"/>
  <c r="AC10" i="9"/>
  <c r="AC43" i="9"/>
  <c r="AC44" i="9"/>
  <c r="AC56" i="9"/>
  <c r="AC58" i="9"/>
  <c r="AB14" i="9"/>
  <c r="AB15" i="9"/>
  <c r="AB16" i="9"/>
  <c r="AB17" i="9"/>
  <c r="AB18" i="9"/>
  <c r="AB19" i="9"/>
  <c r="AB20" i="9"/>
  <c r="P10" i="9"/>
  <c r="Q10" i="9"/>
  <c r="R10" i="9"/>
  <c r="S10" i="9"/>
  <c r="T10" i="9"/>
  <c r="U10" i="9"/>
  <c r="V10" i="9"/>
  <c r="W10" i="9"/>
  <c r="X10" i="9"/>
  <c r="Y10" i="9"/>
  <c r="Z10" i="9"/>
  <c r="AA10" i="9"/>
  <c r="AB27" i="9"/>
  <c r="AB26" i="9"/>
  <c r="AB57" i="9"/>
  <c r="S58" i="9"/>
  <c r="P58" i="9"/>
  <c r="Q58" i="9"/>
  <c r="R58" i="9"/>
  <c r="T58" i="9"/>
  <c r="U58" i="9"/>
  <c r="V58" i="9"/>
  <c r="W58" i="9"/>
  <c r="X58" i="9"/>
  <c r="Y58" i="9"/>
  <c r="Z58" i="9"/>
  <c r="AA58" i="9"/>
  <c r="AB52" i="9"/>
  <c r="AB53" i="9" s="1"/>
  <c r="P56" i="9"/>
  <c r="P59" i="9"/>
  <c r="Q56" i="9"/>
  <c r="R56" i="9"/>
  <c r="S56" i="9"/>
  <c r="S59" i="9"/>
  <c r="T56" i="9"/>
  <c r="T59" i="9" s="1"/>
  <c r="U56" i="9"/>
  <c r="U59" i="9"/>
  <c r="V56" i="9"/>
  <c r="W56" i="9"/>
  <c r="X56" i="9"/>
  <c r="X59" i="9"/>
  <c r="Y56" i="9"/>
  <c r="Y59" i="9"/>
  <c r="Z56" i="9"/>
  <c r="AA56" i="9"/>
  <c r="P43" i="9"/>
  <c r="Q43" i="9"/>
  <c r="R43" i="9"/>
  <c r="S43" i="9"/>
  <c r="T43" i="9"/>
  <c r="U43" i="9"/>
  <c r="V43" i="9"/>
  <c r="W43" i="9"/>
  <c r="X43" i="9"/>
  <c r="Y43" i="9"/>
  <c r="Z43" i="9"/>
  <c r="AA43" i="9"/>
  <c r="P44" i="9"/>
  <c r="Q44" i="9"/>
  <c r="R44" i="9"/>
  <c r="S44" i="9"/>
  <c r="T44" i="9"/>
  <c r="U44" i="9"/>
  <c r="V44" i="9"/>
  <c r="W44" i="9"/>
  <c r="X44" i="9"/>
  <c r="Y44" i="9"/>
  <c r="Z44" i="9"/>
  <c r="AA44" i="9"/>
  <c r="O14" i="9"/>
  <c r="O15" i="9"/>
  <c r="O16" i="9"/>
  <c r="O17" i="9"/>
  <c r="O18" i="9"/>
  <c r="O19" i="9"/>
  <c r="C10" i="9"/>
  <c r="D10" i="9"/>
  <c r="E10" i="9"/>
  <c r="F10" i="9"/>
  <c r="G10" i="9"/>
  <c r="H10" i="9"/>
  <c r="I10" i="9"/>
  <c r="J10" i="9"/>
  <c r="K10" i="9"/>
  <c r="L10" i="9"/>
  <c r="M10" i="9"/>
  <c r="N10" i="9"/>
  <c r="O27" i="9"/>
  <c r="O26" i="9"/>
  <c r="F58" i="9"/>
  <c r="G58" i="9"/>
  <c r="D58" i="9"/>
  <c r="E58" i="9"/>
  <c r="H58" i="9"/>
  <c r="I58" i="9"/>
  <c r="J58" i="9"/>
  <c r="K58" i="9"/>
  <c r="L58" i="9"/>
  <c r="M58" i="9"/>
  <c r="N58" i="9"/>
  <c r="O52" i="9"/>
  <c r="O53" i="9" s="1"/>
  <c r="D56" i="9"/>
  <c r="D59" i="9" s="1"/>
  <c r="E56" i="9"/>
  <c r="E59" i="9"/>
  <c r="F56" i="9"/>
  <c r="F59" i="9" s="1"/>
  <c r="G56" i="9"/>
  <c r="H56" i="9"/>
  <c r="H59" i="9"/>
  <c r="I56" i="9"/>
  <c r="J56" i="9"/>
  <c r="J59" i="9"/>
  <c r="K56" i="9"/>
  <c r="K59" i="9" s="1"/>
  <c r="L56" i="9"/>
  <c r="M56" i="9"/>
  <c r="N56" i="9"/>
  <c r="N59" i="9" s="1"/>
  <c r="O57" i="9"/>
  <c r="D43" i="9"/>
  <c r="E43" i="9"/>
  <c r="F43" i="9"/>
  <c r="G43" i="9"/>
  <c r="H43" i="9"/>
  <c r="I43" i="9"/>
  <c r="J43" i="9"/>
  <c r="K43" i="9"/>
  <c r="L43" i="9"/>
  <c r="M43" i="9"/>
  <c r="N43" i="9"/>
  <c r="D44" i="9"/>
  <c r="E44" i="9"/>
  <c r="F44" i="9"/>
  <c r="G44" i="9"/>
  <c r="H44" i="9"/>
  <c r="I44" i="9"/>
  <c r="J44" i="9"/>
  <c r="K44" i="9"/>
  <c r="L44" i="9"/>
  <c r="M44" i="9"/>
  <c r="N44" i="9"/>
  <c r="C29" i="6"/>
  <c r="D29" i="6" s="1"/>
  <c r="E29" i="6" s="1"/>
  <c r="F29" i="6" s="1"/>
  <c r="G29" i="6" s="1"/>
  <c r="H29" i="6" s="1"/>
  <c r="I29" i="6" s="1"/>
  <c r="J29" i="6" s="1"/>
  <c r="K29" i="6" s="1"/>
  <c r="L29" i="6" s="1"/>
  <c r="C20" i="9"/>
  <c r="C24" i="9" s="1"/>
  <c r="C29" i="9" s="1"/>
  <c r="D20" i="9"/>
  <c r="D24" i="9" s="1"/>
  <c r="D29" i="9" s="1"/>
  <c r="D37" i="9" s="1"/>
  <c r="D46" i="9" s="1"/>
  <c r="E20" i="9"/>
  <c r="F20" i="9"/>
  <c r="F24" i="9" s="1"/>
  <c r="F29" i="9" s="1"/>
  <c r="F37" i="9" s="1"/>
  <c r="G20" i="9"/>
  <c r="G24" i="9" s="1"/>
  <c r="G29" i="9" s="1"/>
  <c r="G37" i="9" s="1"/>
  <c r="H20" i="9"/>
  <c r="H24" i="9" s="1"/>
  <c r="H29" i="9" s="1"/>
  <c r="H37" i="9" s="1"/>
  <c r="H46" i="9" s="1"/>
  <c r="H49" i="9" s="1"/>
  <c r="I20" i="9"/>
  <c r="I24" i="9" s="1"/>
  <c r="I29" i="9" s="1"/>
  <c r="I37" i="9" s="1"/>
  <c r="I46" i="9" s="1"/>
  <c r="I49" i="9" s="1"/>
  <c r="J20" i="9"/>
  <c r="J24" i="9" s="1"/>
  <c r="J29" i="9" s="1"/>
  <c r="J37" i="9" s="1"/>
  <c r="K20" i="9"/>
  <c r="K24" i="9" s="1"/>
  <c r="K29" i="9" s="1"/>
  <c r="K37" i="9" s="1"/>
  <c r="L20" i="9"/>
  <c r="L24" i="9" s="1"/>
  <c r="L29" i="9" s="1"/>
  <c r="L37" i="9" s="1"/>
  <c r="L46" i="9" s="1"/>
  <c r="L49" i="9" s="1"/>
  <c r="M20" i="9"/>
  <c r="M24" i="9" s="1"/>
  <c r="M29" i="9" s="1"/>
  <c r="M37" i="9" s="1"/>
  <c r="M46" i="9" s="1"/>
  <c r="N20" i="9"/>
  <c r="N24" i="9" s="1"/>
  <c r="N29" i="9" s="1"/>
  <c r="N37" i="9" s="1"/>
  <c r="P20" i="9"/>
  <c r="P24" i="9" s="1"/>
  <c r="P29" i="9" s="1"/>
  <c r="P37" i="9" s="1"/>
  <c r="Q20" i="9"/>
  <c r="Q24" i="9" s="1"/>
  <c r="Q29" i="9" s="1"/>
  <c r="Q37" i="9" s="1"/>
  <c r="R20" i="9"/>
  <c r="R24" i="9" s="1"/>
  <c r="R29" i="9" s="1"/>
  <c r="R37" i="9" s="1"/>
  <c r="S20" i="9"/>
  <c r="S24" i="9" s="1"/>
  <c r="S29" i="9" s="1"/>
  <c r="S37" i="9" s="1"/>
  <c r="S46" i="9" s="1"/>
  <c r="S49" i="9" s="1"/>
  <c r="T20" i="9"/>
  <c r="T24" i="9" s="1"/>
  <c r="T29" i="9" s="1"/>
  <c r="T37" i="9" s="1"/>
  <c r="U20" i="9"/>
  <c r="U24" i="9" s="1"/>
  <c r="U29" i="9" s="1"/>
  <c r="U37" i="9" s="1"/>
  <c r="V20" i="9"/>
  <c r="V24" i="9" s="1"/>
  <c r="V29" i="9" s="1"/>
  <c r="V37" i="9" s="1"/>
  <c r="W20" i="9"/>
  <c r="W24" i="9" s="1"/>
  <c r="W29" i="9" s="1"/>
  <c r="W37" i="9" s="1"/>
  <c r="W46" i="9" s="1"/>
  <c r="W49" i="9" s="1"/>
  <c r="X20" i="9"/>
  <c r="X24" i="9" s="1"/>
  <c r="X29" i="9" s="1"/>
  <c r="X37" i="9" s="1"/>
  <c r="Y20" i="9"/>
  <c r="Y24" i="9" s="1"/>
  <c r="Y29" i="9" s="1"/>
  <c r="Y37" i="9" s="1"/>
  <c r="Z20" i="9"/>
  <c r="Z24" i="9" s="1"/>
  <c r="Z29" i="9" s="1"/>
  <c r="Z37" i="9" s="1"/>
  <c r="AA20" i="9"/>
  <c r="AA24" i="9" s="1"/>
  <c r="AA29" i="9" s="1"/>
  <c r="AA37" i="9" s="1"/>
  <c r="AA46" i="9" s="1"/>
  <c r="AA49" i="9" s="1"/>
  <c r="C36" i="6"/>
  <c r="C56" i="9"/>
  <c r="AO57" i="9"/>
  <c r="C13" i="6"/>
  <c r="D13" i="6" s="1"/>
  <c r="E13" i="6" s="1"/>
  <c r="F13" i="6" s="1"/>
  <c r="G13" i="6" s="1"/>
  <c r="H13" i="6" s="1"/>
  <c r="I13" i="6" s="1"/>
  <c r="J13" i="6" s="1"/>
  <c r="K13" i="6" s="1"/>
  <c r="L13" i="6" s="1"/>
  <c r="M13" i="6" s="1"/>
  <c r="N13" i="6" s="1"/>
  <c r="O13" i="6" s="1"/>
  <c r="P13" i="6" s="1"/>
  <c r="Q13" i="6" s="1"/>
  <c r="R13" i="6" s="1"/>
  <c r="S13" i="6" s="1"/>
  <c r="T13" i="6" s="1"/>
  <c r="U13" i="6" s="1"/>
  <c r="V13" i="6" s="1"/>
  <c r="W13" i="6" s="1"/>
  <c r="X13" i="6" s="1"/>
  <c r="Y13" i="6" s="1"/>
  <c r="Z13" i="6" s="1"/>
  <c r="AA13" i="6" s="1"/>
  <c r="AB13" i="6" s="1"/>
  <c r="AC13" i="6" s="1"/>
  <c r="AD13" i="6" s="1"/>
  <c r="AE13" i="6" s="1"/>
  <c r="AF13" i="6" s="1"/>
  <c r="AG13" i="6" s="1"/>
  <c r="AH13" i="6" s="1"/>
  <c r="AI13" i="6" s="1"/>
  <c r="AJ13" i="6" s="1"/>
  <c r="AK13" i="6" s="1"/>
  <c r="AL13" i="6" s="1"/>
  <c r="AM13" i="6" s="1"/>
  <c r="C14" i="6"/>
  <c r="C25" i="1"/>
  <c r="D6" i="1" s="1"/>
  <c r="E21" i="1"/>
  <c r="F21" i="1"/>
  <c r="G21" i="1"/>
  <c r="H21" i="1"/>
  <c r="I21" i="1"/>
  <c r="J21" i="1"/>
  <c r="K21" i="1"/>
  <c r="L21" i="1"/>
  <c r="M21" i="1"/>
  <c r="N21" i="1"/>
  <c r="P21" i="1"/>
  <c r="P11" i="1"/>
  <c r="Q21" i="1"/>
  <c r="Q11" i="1"/>
  <c r="R21" i="1"/>
  <c r="R11" i="1"/>
  <c r="S21" i="1"/>
  <c r="S11" i="1"/>
  <c r="T21" i="1"/>
  <c r="T11" i="1"/>
  <c r="U21" i="1"/>
  <c r="U11" i="1"/>
  <c r="V21" i="1"/>
  <c r="V11" i="1"/>
  <c r="W21" i="1"/>
  <c r="W11" i="1"/>
  <c r="X21" i="1"/>
  <c r="X11" i="1"/>
  <c r="Y21" i="1"/>
  <c r="Y11" i="1"/>
  <c r="Z21" i="1"/>
  <c r="Z11" i="1"/>
  <c r="AA21" i="1"/>
  <c r="AA11" i="1"/>
  <c r="AC21" i="1"/>
  <c r="AC11" i="1"/>
  <c r="AD21" i="1"/>
  <c r="AD11" i="1"/>
  <c r="AE21" i="1"/>
  <c r="AE11" i="1"/>
  <c r="AF21" i="1"/>
  <c r="AF11" i="1"/>
  <c r="AG21" i="1"/>
  <c r="AG11" i="1"/>
  <c r="AH21" i="1"/>
  <c r="AH11" i="1"/>
  <c r="AI21" i="1"/>
  <c r="AI11" i="1"/>
  <c r="AJ21" i="1"/>
  <c r="AJ11" i="1"/>
  <c r="AK21" i="1"/>
  <c r="AK11" i="1"/>
  <c r="AL21" i="1"/>
  <c r="AL11" i="1"/>
  <c r="AM21" i="1"/>
  <c r="AM11" i="1"/>
  <c r="AN21" i="1"/>
  <c r="AN11" i="1"/>
  <c r="AM47" i="6" s="1"/>
  <c r="C15" i="6"/>
  <c r="C17" i="6"/>
  <c r="C6" i="6"/>
  <c r="D6" i="6" s="1"/>
  <c r="Q6" i="6" s="1"/>
  <c r="R6" i="6" s="1"/>
  <c r="S6" i="6" s="1"/>
  <c r="T6" i="6" s="1"/>
  <c r="U6" i="6" s="1"/>
  <c r="V6" i="6" s="1"/>
  <c r="W6" i="6" s="1"/>
  <c r="X6" i="6" s="1"/>
  <c r="Y6" i="6" s="1"/>
  <c r="Z6" i="6" s="1"/>
  <c r="AA6" i="6" s="1"/>
  <c r="AB6" i="6" s="1"/>
  <c r="AC6" i="6" s="1"/>
  <c r="AD6" i="6" s="1"/>
  <c r="AE6" i="6" s="1"/>
  <c r="AF6" i="6" s="1"/>
  <c r="AG6" i="6" s="1"/>
  <c r="AH6" i="6" s="1"/>
  <c r="AI6" i="6" s="1"/>
  <c r="AJ6" i="6" s="1"/>
  <c r="AK6" i="6" s="1"/>
  <c r="AL6" i="6" s="1"/>
  <c r="AM6" i="6" s="1"/>
  <c r="AB15" i="1"/>
  <c r="AB16" i="1"/>
  <c r="AB17" i="1"/>
  <c r="AB18" i="1"/>
  <c r="AB19" i="1"/>
  <c r="AB20" i="1"/>
  <c r="AB11" i="1"/>
  <c r="AB53" i="1"/>
  <c r="AB54" i="1"/>
  <c r="AB57" i="1"/>
  <c r="AB58" i="1"/>
  <c r="O15" i="1"/>
  <c r="O16" i="1"/>
  <c r="O17" i="1"/>
  <c r="O18" i="1"/>
  <c r="O19" i="1"/>
  <c r="O20" i="1"/>
  <c r="C8" i="6"/>
  <c r="C9" i="6"/>
  <c r="O53" i="1"/>
  <c r="O54" i="1" s="1"/>
  <c r="O57" i="1"/>
  <c r="C10" i="6"/>
  <c r="AO58" i="1"/>
  <c r="AO57" i="1"/>
  <c r="C38" i="6"/>
  <c r="C58" i="9" s="1"/>
  <c r="C59" i="9" s="1"/>
  <c r="C40" i="6"/>
  <c r="C45" i="9" s="1"/>
  <c r="C31" i="6"/>
  <c r="C32" i="6"/>
  <c r="C44" i="9" s="1"/>
  <c r="C37" i="6"/>
  <c r="C33" i="6"/>
  <c r="O7" i="9"/>
  <c r="AB7" i="9"/>
  <c r="AO7" i="9"/>
  <c r="AO10" i="9"/>
  <c r="AO11" i="9"/>
  <c r="AO14" i="9"/>
  <c r="AO15" i="9"/>
  <c r="AO16" i="9"/>
  <c r="AO17" i="9"/>
  <c r="AO18" i="9"/>
  <c r="AO19" i="9"/>
  <c r="AO26" i="9"/>
  <c r="AO27" i="9"/>
  <c r="AO44" i="9"/>
  <c r="AO58" i="9"/>
  <c r="AO52" i="9"/>
  <c r="AO53" i="9" s="1"/>
  <c r="AO53" i="1"/>
  <c r="AO54" i="1"/>
  <c r="AO20" i="1"/>
  <c r="AO19" i="1"/>
  <c r="AO18" i="1"/>
  <c r="AO17" i="1"/>
  <c r="AO16" i="1"/>
  <c r="AO15" i="1"/>
  <c r="O8" i="1"/>
  <c r="O12" i="1" s="1"/>
  <c r="AO8" i="1"/>
  <c r="AB8" i="1"/>
  <c r="AO11" i="1"/>
  <c r="AB12" i="1"/>
  <c r="C43" i="9"/>
  <c r="AD59" i="9"/>
  <c r="AF59" i="9"/>
  <c r="AH59" i="9"/>
  <c r="AJ59" i="9"/>
  <c r="AL59" i="9"/>
  <c r="AN59" i="9"/>
  <c r="C48" i="9"/>
  <c r="O38" i="9"/>
  <c r="O39" i="9"/>
  <c r="AB39" i="9"/>
  <c r="AO38" i="9"/>
  <c r="O42" i="1"/>
  <c r="F12" i="14" l="1"/>
  <c r="F29" i="14" s="1"/>
  <c r="D12" i="1"/>
  <c r="E6" i="1"/>
  <c r="E12" i="1" s="1"/>
  <c r="O11" i="1" s="1"/>
  <c r="AO21" i="1"/>
  <c r="AO25" i="1" s="1"/>
  <c r="AN25" i="1"/>
  <c r="L59" i="9"/>
  <c r="O10" i="9"/>
  <c r="O11" i="9" s="1"/>
  <c r="R59" i="9"/>
  <c r="AC59" i="9"/>
  <c r="AE59" i="9"/>
  <c r="AI59" i="9"/>
  <c r="AK59" i="9"/>
  <c r="O41" i="9"/>
  <c r="AB45" i="9"/>
  <c r="E4" i="6"/>
  <c r="AB47" i="6"/>
  <c r="AJ47" i="6"/>
  <c r="AL47" i="6"/>
  <c r="AH47" i="6"/>
  <c r="AD47" i="6"/>
  <c r="AF47" i="6"/>
  <c r="W59" i="9"/>
  <c r="Y46" i="9"/>
  <c r="U46" i="9"/>
  <c r="U49" i="9" s="1"/>
  <c r="U61" i="9" s="1"/>
  <c r="Q46" i="9"/>
  <c r="Q49" i="9" s="1"/>
  <c r="AA59" i="9"/>
  <c r="O56" i="9"/>
  <c r="M59" i="9"/>
  <c r="G59" i="9"/>
  <c r="I59" i="9"/>
  <c r="Z59" i="9"/>
  <c r="V59" i="9"/>
  <c r="AB56" i="9"/>
  <c r="O44" i="9"/>
  <c r="J46" i="9"/>
  <c r="J49" i="9" s="1"/>
  <c r="J61" i="9" s="1"/>
  <c r="F46" i="9"/>
  <c r="F49" i="9" s="1"/>
  <c r="F61" i="9" s="1"/>
  <c r="AO45" i="9"/>
  <c r="O43" i="9"/>
  <c r="C20" i="6"/>
  <c r="V46" i="9"/>
  <c r="V49" i="9" s="1"/>
  <c r="V61" i="9" s="1"/>
  <c r="M49" i="9"/>
  <c r="M61" i="9" s="1"/>
  <c r="I61" i="9"/>
  <c r="Y49" i="9"/>
  <c r="Y61" i="9" s="1"/>
  <c r="L61" i="9"/>
  <c r="H61" i="9"/>
  <c r="AB58" i="9"/>
  <c r="AG59" i="9"/>
  <c r="AO56" i="9"/>
  <c r="AO59" i="9" s="1"/>
  <c r="AO43" i="9"/>
  <c r="AB44" i="9"/>
  <c r="O48" i="9"/>
  <c r="O58" i="9"/>
  <c r="O59" i="9" s="1"/>
  <c r="Q59" i="9"/>
  <c r="C43" i="6"/>
  <c r="O45" i="9"/>
  <c r="D22" i="6"/>
  <c r="O35" i="9"/>
  <c r="AB37" i="9"/>
  <c r="AD24" i="9"/>
  <c r="AD29" i="9" s="1"/>
  <c r="AD37" i="9" s="1"/>
  <c r="AD46" i="9" s="1"/>
  <c r="AD49" i="9" s="1"/>
  <c r="AD61" i="9" s="1"/>
  <c r="AF24" i="9"/>
  <c r="AF29" i="9" s="1"/>
  <c r="AF37" i="9" s="1"/>
  <c r="AF46" i="9" s="1"/>
  <c r="AF49" i="9" s="1"/>
  <c r="AF61" i="9" s="1"/>
  <c r="AN24" i="9"/>
  <c r="AN29" i="9" s="1"/>
  <c r="AN37" i="9" s="1"/>
  <c r="AN46" i="9" s="1"/>
  <c r="AN49" i="9" s="1"/>
  <c r="AN61" i="9" s="1"/>
  <c r="D37" i="6"/>
  <c r="C37" i="9"/>
  <c r="C46" i="9" s="1"/>
  <c r="C49" i="9" s="1"/>
  <c r="C61" i="9" s="1"/>
  <c r="A4" i="10"/>
  <c r="AC24" i="9"/>
  <c r="AC29" i="9" s="1"/>
  <c r="AC37" i="9" s="1"/>
  <c r="AC46" i="9" s="1"/>
  <c r="AC49" i="9" s="1"/>
  <c r="AC61" i="9" s="1"/>
  <c r="AE24" i="9"/>
  <c r="AE29" i="9" s="1"/>
  <c r="AE37" i="9" s="1"/>
  <c r="AE46" i="9" s="1"/>
  <c r="AE49" i="9" s="1"/>
  <c r="AE61" i="9" s="1"/>
  <c r="AM24" i="9"/>
  <c r="AM29" i="9" s="1"/>
  <c r="AM37" i="9" s="1"/>
  <c r="AM46" i="9" s="1"/>
  <c r="AM49" i="9" s="1"/>
  <c r="AM61" i="9" s="1"/>
  <c r="D49" i="9"/>
  <c r="D61" i="9" s="1"/>
  <c r="S61" i="9"/>
  <c r="W61" i="9"/>
  <c r="AA61" i="9"/>
  <c r="AB36" i="1"/>
  <c r="AC36" i="1"/>
  <c r="AD36" i="1" s="1"/>
  <c r="AE36" i="1" s="1"/>
  <c r="AF36" i="1" s="1"/>
  <c r="AG36" i="1" s="1"/>
  <c r="AH36" i="1" s="1"/>
  <c r="AI36" i="1" s="1"/>
  <c r="AJ36" i="1" s="1"/>
  <c r="AK36" i="1" s="1"/>
  <c r="AL36" i="1" s="1"/>
  <c r="AM36" i="1" s="1"/>
  <c r="AN36" i="1" s="1"/>
  <c r="AO36" i="1" s="1"/>
  <c r="AC35" i="9"/>
  <c r="AD35" i="9" s="1"/>
  <c r="AE35" i="9" s="1"/>
  <c r="AF35" i="9" s="1"/>
  <c r="AG35" i="9" s="1"/>
  <c r="AH35" i="9" s="1"/>
  <c r="AI35" i="9" s="1"/>
  <c r="AJ35" i="9" s="1"/>
  <c r="AK35" i="9" s="1"/>
  <c r="AL35" i="9" s="1"/>
  <c r="AM35" i="9" s="1"/>
  <c r="AN35" i="9" s="1"/>
  <c r="AO35" i="9" s="1"/>
  <c r="AB35" i="9"/>
  <c r="M29" i="6"/>
  <c r="O6" i="9"/>
  <c r="P6" i="9"/>
  <c r="Q6" i="9" s="1"/>
  <c r="R6" i="9" s="1"/>
  <c r="S6" i="9" s="1"/>
  <c r="T6" i="9" s="1"/>
  <c r="U6" i="9" s="1"/>
  <c r="V6" i="9" s="1"/>
  <c r="W6" i="9" s="1"/>
  <c r="X6" i="9" s="1"/>
  <c r="Y6" i="9" s="1"/>
  <c r="Z6" i="9" s="1"/>
  <c r="AA6" i="9" s="1"/>
  <c r="O36" i="1"/>
  <c r="AB38" i="9"/>
  <c r="AO39" i="9"/>
  <c r="AO12" i="1"/>
  <c r="X46" i="9"/>
  <c r="X49" i="9" s="1"/>
  <c r="X61" i="9" s="1"/>
  <c r="T46" i="9"/>
  <c r="T49" i="9" s="1"/>
  <c r="T61" i="9" s="1"/>
  <c r="P46" i="9"/>
  <c r="P49" i="9" s="1"/>
  <c r="P61" i="9" s="1"/>
  <c r="O21" i="1"/>
  <c r="O25" i="1" s="1"/>
  <c r="N46" i="9"/>
  <c r="N49" i="9" s="1"/>
  <c r="N61" i="9" s="1"/>
  <c r="AO20" i="9"/>
  <c r="AO24" i="9" s="1"/>
  <c r="AO29" i="9" s="1"/>
  <c r="C11" i="6"/>
  <c r="Z46" i="9"/>
  <c r="Z49" i="9" s="1"/>
  <c r="Z61" i="9" s="1"/>
  <c r="R46" i="9"/>
  <c r="R49" i="9" s="1"/>
  <c r="R61" i="9" s="1"/>
  <c r="G46" i="9"/>
  <c r="G49" i="9" s="1"/>
  <c r="AB21" i="1"/>
  <c r="AB25" i="1" s="1"/>
  <c r="K46" i="9"/>
  <c r="K49" i="9" s="1"/>
  <c r="K61" i="9" s="1"/>
  <c r="C34" i="6"/>
  <c r="C45" i="6" s="1"/>
  <c r="C64" i="1"/>
  <c r="O64" i="1" s="1"/>
  <c r="C63" i="9"/>
  <c r="F7" i="1"/>
  <c r="G7" i="1" s="1"/>
  <c r="H7" i="1" s="1"/>
  <c r="I7" i="1" s="1"/>
  <c r="J7" i="1" s="1"/>
  <c r="K7" i="1" s="1"/>
  <c r="L7" i="1" s="1"/>
  <c r="M7" i="1" s="1"/>
  <c r="N7" i="1" s="1"/>
  <c r="AL25" i="1"/>
  <c r="AJ25" i="1"/>
  <c r="AH25" i="1"/>
  <c r="AF25" i="1"/>
  <c r="AD25" i="1"/>
  <c r="AA25" i="1"/>
  <c r="Y25" i="1"/>
  <c r="W25" i="1"/>
  <c r="U25" i="1"/>
  <c r="S25" i="1"/>
  <c r="Q25" i="1"/>
  <c r="N25" i="1"/>
  <c r="L25" i="1"/>
  <c r="J25" i="1"/>
  <c r="H25" i="1"/>
  <c r="F25" i="1"/>
  <c r="G6" i="1" s="1"/>
  <c r="G12" i="1" s="1"/>
  <c r="E22" i="6"/>
  <c r="O20" i="9"/>
  <c r="O24" i="9" s="1"/>
  <c r="O29" i="9" s="1"/>
  <c r="AB43" i="9"/>
  <c r="AC47" i="6"/>
  <c r="AE47" i="6"/>
  <c r="AG47" i="6"/>
  <c r="AI47" i="6"/>
  <c r="AK47" i="6"/>
  <c r="AM25" i="1"/>
  <c r="AK25" i="1"/>
  <c r="AI25" i="1"/>
  <c r="AG25" i="1"/>
  <c r="AE25" i="1"/>
  <c r="AC25" i="1"/>
  <c r="Z25" i="1"/>
  <c r="X25" i="1"/>
  <c r="V25" i="1"/>
  <c r="T25" i="1"/>
  <c r="R25" i="1"/>
  <c r="P25" i="1"/>
  <c r="M25" i="1"/>
  <c r="K25" i="1"/>
  <c r="I25" i="1"/>
  <c r="G25" i="1"/>
  <c r="H6" i="1" s="1"/>
  <c r="H12" i="1" s="1"/>
  <c r="E25" i="1"/>
  <c r="F6" i="1" s="1"/>
  <c r="F12" i="1" s="1"/>
  <c r="E24" i="9"/>
  <c r="E29" i="9" s="1"/>
  <c r="AB10" i="9"/>
  <c r="AG24" i="9"/>
  <c r="AG29" i="9" s="1"/>
  <c r="AG37" i="9" s="1"/>
  <c r="AG46" i="9" s="1"/>
  <c r="AG49" i="9" s="1"/>
  <c r="AG61" i="9" s="1"/>
  <c r="AI24" i="9"/>
  <c r="AI29" i="9" s="1"/>
  <c r="AI37" i="9" s="1"/>
  <c r="AI46" i="9" s="1"/>
  <c r="AI49" i="9" s="1"/>
  <c r="AI61" i="9" s="1"/>
  <c r="AK24" i="9"/>
  <c r="AK29" i="9" s="1"/>
  <c r="AK37" i="9" s="1"/>
  <c r="AK46" i="9" s="1"/>
  <c r="AK49" i="9" s="1"/>
  <c r="AK61" i="9" s="1"/>
  <c r="AB47" i="9"/>
  <c r="AO48" i="9"/>
  <c r="AH24" i="9"/>
  <c r="AH29" i="9" s="1"/>
  <c r="AH37" i="9" s="1"/>
  <c r="AH46" i="9" s="1"/>
  <c r="AH49" i="9" s="1"/>
  <c r="AH61" i="9" s="1"/>
  <c r="AJ24" i="9"/>
  <c r="AJ29" i="9" s="1"/>
  <c r="AJ37" i="9" s="1"/>
  <c r="AJ46" i="9" s="1"/>
  <c r="AJ49" i="9" s="1"/>
  <c r="AJ61" i="9" s="1"/>
  <c r="AL24" i="9"/>
  <c r="AL29" i="9" s="1"/>
  <c r="AL37" i="9" s="1"/>
  <c r="AL46" i="9" s="1"/>
  <c r="AL49" i="9" s="1"/>
  <c r="AL61" i="9" s="1"/>
  <c r="O47" i="9"/>
  <c r="AO47" i="9"/>
  <c r="AB48" i="9"/>
  <c r="G12" i="14" l="1"/>
  <c r="G29" i="14" s="1"/>
  <c r="AB24" i="9"/>
  <c r="AB29" i="9" s="1"/>
  <c r="AB11" i="9"/>
  <c r="F4" i="6"/>
  <c r="E9" i="6"/>
  <c r="E17" i="6"/>
  <c r="D17" i="6"/>
  <c r="C44" i="1"/>
  <c r="D9" i="6"/>
  <c r="C45" i="1" s="1"/>
  <c r="X47" i="6"/>
  <c r="Y47" i="6"/>
  <c r="Z47" i="6"/>
  <c r="U47" i="6"/>
  <c r="AA47" i="6"/>
  <c r="R47" i="6"/>
  <c r="S47" i="6"/>
  <c r="Q47" i="6"/>
  <c r="T47" i="6"/>
  <c r="V47" i="6"/>
  <c r="W47" i="6"/>
  <c r="P47" i="6"/>
  <c r="N47" i="6"/>
  <c r="K47" i="6"/>
  <c r="H47" i="6"/>
  <c r="E47" i="6"/>
  <c r="O47" i="6"/>
  <c r="L47" i="6"/>
  <c r="I47" i="6"/>
  <c r="F47" i="6"/>
  <c r="M47" i="6"/>
  <c r="J47" i="6"/>
  <c r="G47" i="6"/>
  <c r="D47" i="6"/>
  <c r="D18" i="6" s="1"/>
  <c r="G61" i="9"/>
  <c r="AB59" i="9"/>
  <c r="AB46" i="9"/>
  <c r="AB49" i="9" s="1"/>
  <c r="AB61" i="9" s="1"/>
  <c r="Q61" i="9"/>
  <c r="C27" i="1"/>
  <c r="C39" i="1" s="1"/>
  <c r="C48" i="1" s="1"/>
  <c r="D43" i="6"/>
  <c r="E37" i="6"/>
  <c r="E43" i="6" s="1"/>
  <c r="A5" i="10"/>
  <c r="O63" i="9"/>
  <c r="AC6" i="9"/>
  <c r="AD6" i="9" s="1"/>
  <c r="AE6" i="9" s="1"/>
  <c r="AF6" i="9" s="1"/>
  <c r="AG6" i="9" s="1"/>
  <c r="AH6" i="9" s="1"/>
  <c r="AI6" i="9" s="1"/>
  <c r="AJ6" i="9" s="1"/>
  <c r="AK6" i="9" s="1"/>
  <c r="AL6" i="9" s="1"/>
  <c r="AM6" i="9" s="1"/>
  <c r="AN6" i="9" s="1"/>
  <c r="AO6" i="9" s="1"/>
  <c r="AB6" i="9"/>
  <c r="AO37" i="9"/>
  <c r="AO46" i="9" s="1"/>
  <c r="AO49" i="9" s="1"/>
  <c r="AO61" i="9" s="1"/>
  <c r="N29" i="6"/>
  <c r="E37" i="9"/>
  <c r="O7" i="1"/>
  <c r="P7" i="1"/>
  <c r="Q7" i="1" s="1"/>
  <c r="R7" i="1" s="1"/>
  <c r="S7" i="1" s="1"/>
  <c r="T7" i="1" s="1"/>
  <c r="U7" i="1" s="1"/>
  <c r="V7" i="1" s="1"/>
  <c r="W7" i="1" s="1"/>
  <c r="X7" i="1" s="1"/>
  <c r="Y7" i="1" s="1"/>
  <c r="Z7" i="1" s="1"/>
  <c r="AA7" i="1" s="1"/>
  <c r="C65" i="9"/>
  <c r="H12" i="14" l="1"/>
  <c r="H29" i="14" s="1"/>
  <c r="I12" i="14"/>
  <c r="I29" i="14" s="1"/>
  <c r="C46" i="1"/>
  <c r="F18" i="6"/>
  <c r="E18" i="6"/>
  <c r="D45" i="1" s="1"/>
  <c r="F22" i="6"/>
  <c r="G4" i="6"/>
  <c r="G18" i="6" s="1"/>
  <c r="C28" i="1"/>
  <c r="C40" i="1" s="1"/>
  <c r="F37" i="6"/>
  <c r="G37" i="6" s="1"/>
  <c r="A6" i="10"/>
  <c r="D63" i="9"/>
  <c r="D65" i="9" s="1"/>
  <c r="D33" i="6"/>
  <c r="D34" i="6" s="1"/>
  <c r="D45" i="6" s="1"/>
  <c r="D44" i="1"/>
  <c r="E46" i="9"/>
  <c r="E49" i="9" s="1"/>
  <c r="E61" i="9" s="1"/>
  <c r="O37" i="9"/>
  <c r="O46" i="9" s="1"/>
  <c r="O49" i="9" s="1"/>
  <c r="O61" i="9" s="1"/>
  <c r="O65" i="9" s="1"/>
  <c r="P63" i="9" s="1"/>
  <c r="AB7" i="1"/>
  <c r="AC7" i="1"/>
  <c r="AD7" i="1" s="1"/>
  <c r="AE7" i="1" s="1"/>
  <c r="AF7" i="1" s="1"/>
  <c r="AG7" i="1" s="1"/>
  <c r="AH7" i="1" s="1"/>
  <c r="AI7" i="1" s="1"/>
  <c r="AJ7" i="1" s="1"/>
  <c r="AK7" i="1" s="1"/>
  <c r="AL7" i="1" s="1"/>
  <c r="AM7" i="1" s="1"/>
  <c r="AN7" i="1" s="1"/>
  <c r="AO7" i="1" s="1"/>
  <c r="D43" i="1"/>
  <c r="O29" i="6"/>
  <c r="J12" i="14" l="1"/>
  <c r="D48" i="6"/>
  <c r="D19" i="6" s="1"/>
  <c r="C49" i="1" s="1"/>
  <c r="H4" i="6"/>
  <c r="H18" i="6" s="1"/>
  <c r="G22" i="6"/>
  <c r="F9" i="6"/>
  <c r="E44" i="1"/>
  <c r="F17" i="6"/>
  <c r="E46" i="1" s="1"/>
  <c r="C30" i="1"/>
  <c r="D14" i="6" s="1"/>
  <c r="C59" i="1"/>
  <c r="C60" i="1" s="1"/>
  <c r="F43" i="6"/>
  <c r="A7" i="10"/>
  <c r="H37" i="6"/>
  <c r="G43" i="6"/>
  <c r="AB63" i="9"/>
  <c r="AB65" i="9" s="1"/>
  <c r="AC63" i="9" s="1"/>
  <c r="P65" i="9"/>
  <c r="P29" i="6"/>
  <c r="E63" i="9"/>
  <c r="E65" i="9" s="1"/>
  <c r="E33" i="6"/>
  <c r="E34" i="6" s="1"/>
  <c r="E45" i="6" s="1"/>
  <c r="J29" i="14" l="1"/>
  <c r="G17" i="6"/>
  <c r="F46" i="1" s="1"/>
  <c r="F44" i="1"/>
  <c r="G9" i="6"/>
  <c r="F45" i="1" s="1"/>
  <c r="E45" i="1"/>
  <c r="I4" i="6"/>
  <c r="I18" i="6" s="1"/>
  <c r="H22" i="6"/>
  <c r="C38" i="1"/>
  <c r="C47" i="1" s="1"/>
  <c r="C50" i="1" s="1"/>
  <c r="C62" i="1" s="1"/>
  <c r="C66" i="1" s="1"/>
  <c r="E10" i="6" s="1"/>
  <c r="D15" i="6"/>
  <c r="D20" i="6" s="1"/>
  <c r="A8" i="10"/>
  <c r="F63" i="9"/>
  <c r="F65" i="9" s="1"/>
  <c r="F33" i="6"/>
  <c r="F34" i="6" s="1"/>
  <c r="F45" i="6" s="1"/>
  <c r="P33" i="6"/>
  <c r="P34" i="6" s="1"/>
  <c r="Q63" i="9"/>
  <c r="Q65" i="9" s="1"/>
  <c r="AO63" i="9"/>
  <c r="AO65" i="9" s="1"/>
  <c r="AC65" i="9"/>
  <c r="Q29" i="6"/>
  <c r="H43" i="6"/>
  <c r="I37" i="6"/>
  <c r="L12" i="14" l="1"/>
  <c r="L29" i="14" s="1"/>
  <c r="M12" i="14" s="1"/>
  <c r="K12" i="14"/>
  <c r="K29" i="14" s="1"/>
  <c r="M29" i="14"/>
  <c r="N12" i="14" s="1"/>
  <c r="J4" i="6"/>
  <c r="J18" i="6" s="1"/>
  <c r="I22" i="6"/>
  <c r="H9" i="6"/>
  <c r="G45" i="1" s="1"/>
  <c r="G44" i="1"/>
  <c r="H17" i="6"/>
  <c r="G46" i="1" s="1"/>
  <c r="D38" i="1"/>
  <c r="D47" i="1" s="1"/>
  <c r="A9" i="10"/>
  <c r="R29" i="6"/>
  <c r="AB33" i="6"/>
  <c r="AD63" i="9"/>
  <c r="AD65" i="9" s="1"/>
  <c r="Q33" i="6"/>
  <c r="Q34" i="6" s="1"/>
  <c r="R63" i="9"/>
  <c r="R65" i="9" s="1"/>
  <c r="J37" i="6"/>
  <c r="I43" i="6"/>
  <c r="D10" i="6"/>
  <c r="D11" i="6" s="1"/>
  <c r="D63" i="1"/>
  <c r="G63" i="9"/>
  <c r="G65" i="9" s="1"/>
  <c r="G33" i="6"/>
  <c r="G34" i="6" s="1"/>
  <c r="G45" i="6" s="1"/>
  <c r="N29" i="14" l="1"/>
  <c r="O12" i="14" s="1"/>
  <c r="O29" i="14" s="1"/>
  <c r="I9" i="6"/>
  <c r="I17" i="6"/>
  <c r="H44" i="1"/>
  <c r="J22" i="6"/>
  <c r="K4" i="6"/>
  <c r="K18" i="6" s="1"/>
  <c r="A10" i="10"/>
  <c r="R33" i="6"/>
  <c r="R34" i="6" s="1"/>
  <c r="S63" i="9"/>
  <c r="S65" i="9" s="1"/>
  <c r="H63" i="9"/>
  <c r="H33" i="6"/>
  <c r="H34" i="6" s="1"/>
  <c r="H45" i="6" s="1"/>
  <c r="K37" i="6"/>
  <c r="J43" i="6"/>
  <c r="S29" i="6"/>
  <c r="AE63" i="9"/>
  <c r="AE65" i="9" s="1"/>
  <c r="AC33" i="6"/>
  <c r="H46" i="1" l="1"/>
  <c r="L4" i="6"/>
  <c r="L18" i="6" s="1"/>
  <c r="K22" i="6"/>
  <c r="J17" i="6"/>
  <c r="I46" i="1" s="1"/>
  <c r="I44" i="1"/>
  <c r="J9" i="6"/>
  <c r="I45" i="1" s="1"/>
  <c r="H45" i="1"/>
  <c r="A11" i="10"/>
  <c r="T29" i="6"/>
  <c r="H65" i="9"/>
  <c r="S33" i="6"/>
  <c r="S34" i="6" s="1"/>
  <c r="T63" i="9"/>
  <c r="T65" i="9" s="1"/>
  <c r="L37" i="6"/>
  <c r="K43" i="6"/>
  <c r="AF63" i="9"/>
  <c r="AF65" i="9" s="1"/>
  <c r="AD33" i="6"/>
  <c r="M4" i="6" l="1"/>
  <c r="M18" i="6" s="1"/>
  <c r="L22" i="6"/>
  <c r="J44" i="1"/>
  <c r="K9" i="6"/>
  <c r="K17" i="6"/>
  <c r="J46" i="1" s="1"/>
  <c r="A12" i="10"/>
  <c r="U29" i="6"/>
  <c r="AE33" i="6"/>
  <c r="AG63" i="9"/>
  <c r="AG65" i="9" s="1"/>
  <c r="M37" i="6"/>
  <c r="L43" i="6"/>
  <c r="T33" i="6"/>
  <c r="T34" i="6" s="1"/>
  <c r="U63" i="9"/>
  <c r="U65" i="9" s="1"/>
  <c r="I63" i="9"/>
  <c r="I65" i="9" s="1"/>
  <c r="I33" i="6"/>
  <c r="I34" i="6" s="1"/>
  <c r="I45" i="6" s="1"/>
  <c r="K44" i="1" l="1"/>
  <c r="L9" i="6"/>
  <c r="K45" i="1" s="1"/>
  <c r="L17" i="6"/>
  <c r="K46" i="1" s="1"/>
  <c r="M22" i="6"/>
  <c r="N4" i="6"/>
  <c r="N18" i="6" s="1"/>
  <c r="J45" i="1"/>
  <c r="A13" i="10"/>
  <c r="U33" i="6"/>
  <c r="U34" i="6" s="1"/>
  <c r="V63" i="9"/>
  <c r="V65" i="9" s="1"/>
  <c r="V29" i="6"/>
  <c r="J63" i="9"/>
  <c r="J65" i="9" s="1"/>
  <c r="J33" i="6"/>
  <c r="J34" i="6" s="1"/>
  <c r="J45" i="6" s="1"/>
  <c r="N37" i="6"/>
  <c r="M43" i="6"/>
  <c r="AF33" i="6"/>
  <c r="AH63" i="9"/>
  <c r="AH65" i="9" s="1"/>
  <c r="O4" i="6" l="1"/>
  <c r="O18" i="6" s="1"/>
  <c r="N22" i="6"/>
  <c r="L44" i="1"/>
  <c r="M9" i="6"/>
  <c r="L45" i="1" s="1"/>
  <c r="M17" i="6"/>
  <c r="L46" i="1" s="1"/>
  <c r="A14" i="10"/>
  <c r="O37" i="6"/>
  <c r="N43" i="6"/>
  <c r="AI63" i="9"/>
  <c r="AI65" i="9" s="1"/>
  <c r="AG33" i="6"/>
  <c r="W29" i="6"/>
  <c r="K63" i="9"/>
  <c r="K65" i="9" s="1"/>
  <c r="K33" i="6"/>
  <c r="K34" i="6" s="1"/>
  <c r="K45" i="6" s="1"/>
  <c r="W63" i="9"/>
  <c r="W65" i="9" s="1"/>
  <c r="V33" i="6"/>
  <c r="V34" i="6" s="1"/>
  <c r="N9" i="6" l="1"/>
  <c r="M45" i="1" s="1"/>
  <c r="M44" i="1"/>
  <c r="N17" i="6"/>
  <c r="M46" i="1" s="1"/>
  <c r="P4" i="6"/>
  <c r="P18" i="6" s="1"/>
  <c r="O22" i="6"/>
  <c r="A15" i="10"/>
  <c r="X29" i="6"/>
  <c r="AJ63" i="9"/>
  <c r="AJ65" i="9" s="1"/>
  <c r="AH33" i="6"/>
  <c r="W33" i="6"/>
  <c r="W34" i="6" s="1"/>
  <c r="X63" i="9"/>
  <c r="X65" i="9" s="1"/>
  <c r="L33" i="6"/>
  <c r="L34" i="6" s="1"/>
  <c r="L45" i="6" s="1"/>
  <c r="L63" i="9"/>
  <c r="L65" i="9" s="1"/>
  <c r="P37" i="6"/>
  <c r="O43" i="6"/>
  <c r="O17" i="6" l="1"/>
  <c r="N44" i="1"/>
  <c r="O44" i="1" s="1"/>
  <c r="O9" i="6"/>
  <c r="Q4" i="6"/>
  <c r="Q18" i="6" s="1"/>
  <c r="P22" i="6"/>
  <c r="A16" i="10"/>
  <c r="Y63" i="9"/>
  <c r="Y65" i="9" s="1"/>
  <c r="X33" i="6"/>
  <c r="X34" i="6" s="1"/>
  <c r="AI33" i="6"/>
  <c r="AK63" i="9"/>
  <c r="AK65" i="9" s="1"/>
  <c r="Q37" i="6"/>
  <c r="P43" i="6"/>
  <c r="P45" i="6" s="1"/>
  <c r="M63" i="9"/>
  <c r="M65" i="9" s="1"/>
  <c r="M33" i="6"/>
  <c r="M34" i="6" s="1"/>
  <c r="M45" i="6" s="1"/>
  <c r="Y29" i="6"/>
  <c r="N46" i="1" l="1"/>
  <c r="O46" i="1" s="1"/>
  <c r="N45" i="1"/>
  <c r="O45" i="1" s="1"/>
  <c r="R4" i="6"/>
  <c r="R18" i="6" s="1"/>
  <c r="Q22" i="6"/>
  <c r="P17" i="6"/>
  <c r="P46" i="1" s="1"/>
  <c r="P9" i="6"/>
  <c r="P45" i="1" s="1"/>
  <c r="P44" i="1"/>
  <c r="A17" i="10"/>
  <c r="Y33" i="6"/>
  <c r="Y34" i="6" s="1"/>
  <c r="Z63" i="9"/>
  <c r="Z65" i="9" s="1"/>
  <c r="N63" i="9"/>
  <c r="N65" i="9" s="1"/>
  <c r="O33" i="6" s="1"/>
  <c r="O34" i="6" s="1"/>
  <c r="O45" i="6" s="1"/>
  <c r="N33" i="6"/>
  <c r="N34" i="6" s="1"/>
  <c r="N45" i="6" s="1"/>
  <c r="R37" i="6"/>
  <c r="Q43" i="6"/>
  <c r="Q45" i="6" s="1"/>
  <c r="AJ33" i="6"/>
  <c r="AL63" i="9"/>
  <c r="AL65" i="9" s="1"/>
  <c r="Z29" i="6"/>
  <c r="Q17" i="6" l="1"/>
  <c r="Q46" i="1" s="1"/>
  <c r="Q9" i="6"/>
  <c r="Q45" i="1" s="1"/>
  <c r="Q8" i="6"/>
  <c r="Q44" i="1" s="1"/>
  <c r="S4" i="6"/>
  <c r="S18" i="6" s="1"/>
  <c r="R22" i="6"/>
  <c r="A18" i="10"/>
  <c r="AM63" i="9"/>
  <c r="AM65" i="9" s="1"/>
  <c r="AK33" i="6"/>
  <c r="AA63" i="9"/>
  <c r="AA65" i="9" s="1"/>
  <c r="AA33" i="6" s="1"/>
  <c r="Z33" i="6"/>
  <c r="Z34" i="6" s="1"/>
  <c r="AA29" i="6"/>
  <c r="S37" i="6"/>
  <c r="R43" i="6"/>
  <c r="R45" i="6" s="1"/>
  <c r="S22" i="6" l="1"/>
  <c r="T4" i="6"/>
  <c r="T18" i="6" s="1"/>
  <c r="R17" i="6"/>
  <c r="R46" i="1" s="1"/>
  <c r="R8" i="6"/>
  <c r="R44" i="1" s="1"/>
  <c r="R9" i="6"/>
  <c r="A19" i="10"/>
  <c r="T37" i="6"/>
  <c r="S43" i="6"/>
  <c r="S45" i="6" s="1"/>
  <c r="AB29" i="6"/>
  <c r="AA34" i="6"/>
  <c r="AN63" i="9"/>
  <c r="AN65" i="9" s="1"/>
  <c r="AM33" i="6" s="1"/>
  <c r="AL33" i="6"/>
  <c r="U4" i="6" l="1"/>
  <c r="U18" i="6" s="1"/>
  <c r="T22" i="6"/>
  <c r="R45" i="1"/>
  <c r="S17" i="6"/>
  <c r="S46" i="1" s="1"/>
  <c r="S8" i="6"/>
  <c r="S44" i="1" s="1"/>
  <c r="S9" i="6"/>
  <c r="S45" i="1" s="1"/>
  <c r="A20" i="10"/>
  <c r="U37" i="6"/>
  <c r="T43" i="6"/>
  <c r="T45" i="6" s="1"/>
  <c r="AC29" i="6"/>
  <c r="AB34" i="6"/>
  <c r="T17" i="6" l="1"/>
  <c r="T46" i="1" s="1"/>
  <c r="T8" i="6"/>
  <c r="T44" i="1" s="1"/>
  <c r="T9" i="6"/>
  <c r="T45" i="1" s="1"/>
  <c r="V4" i="6"/>
  <c r="V18" i="6" s="1"/>
  <c r="U22" i="6"/>
  <c r="A21" i="10"/>
  <c r="AD29" i="6"/>
  <c r="AC34" i="6"/>
  <c r="V37" i="6"/>
  <c r="U43" i="6"/>
  <c r="U45" i="6" s="1"/>
  <c r="V22" i="6" l="1"/>
  <c r="W4" i="6"/>
  <c r="W18" i="6" s="1"/>
  <c r="U17" i="6"/>
  <c r="U46" i="1" s="1"/>
  <c r="U9" i="6"/>
  <c r="U8" i="6"/>
  <c r="U44" i="1" s="1"/>
  <c r="A22" i="10"/>
  <c r="AE29" i="6"/>
  <c r="AD34" i="6"/>
  <c r="W37" i="6"/>
  <c r="V43" i="6"/>
  <c r="V45" i="6" s="1"/>
  <c r="W22" i="6" l="1"/>
  <c r="X4" i="6"/>
  <c r="X18" i="6" s="1"/>
  <c r="V17" i="6"/>
  <c r="V46" i="1" s="1"/>
  <c r="V8" i="6"/>
  <c r="V44" i="1" s="1"/>
  <c r="V9" i="6"/>
  <c r="V45" i="1" s="1"/>
  <c r="U45" i="1"/>
  <c r="A23" i="10"/>
  <c r="AF29" i="6"/>
  <c r="AE34" i="6"/>
  <c r="X37" i="6"/>
  <c r="W43" i="6"/>
  <c r="W45" i="6" s="1"/>
  <c r="Y4" i="6" l="1"/>
  <c r="Y18" i="6" s="1"/>
  <c r="X22" i="6"/>
  <c r="W17" i="6"/>
  <c r="W46" i="1" s="1"/>
  <c r="W9" i="6"/>
  <c r="W45" i="1" s="1"/>
  <c r="W8" i="6"/>
  <c r="W44" i="1" s="1"/>
  <c r="A24" i="10"/>
  <c r="AG29" i="6"/>
  <c r="AF34" i="6"/>
  <c r="Y37" i="6"/>
  <c r="X43" i="6"/>
  <c r="X45" i="6" s="1"/>
  <c r="X17" i="6" l="1"/>
  <c r="X46" i="1" s="1"/>
  <c r="X9" i="6"/>
  <c r="X8" i="6"/>
  <c r="X44" i="1" s="1"/>
  <c r="Y22" i="6"/>
  <c r="Z4" i="6"/>
  <c r="Z18" i="6" s="1"/>
  <c r="A25" i="10"/>
  <c r="Z37" i="6"/>
  <c r="Y43" i="6"/>
  <c r="Y45" i="6" s="1"/>
  <c r="AH29" i="6"/>
  <c r="AG34" i="6"/>
  <c r="Y17" i="6" l="1"/>
  <c r="Y46" i="1" s="1"/>
  <c r="Y8" i="6"/>
  <c r="Y44" i="1" s="1"/>
  <c r="Y9" i="6"/>
  <c r="Y45" i="1" s="1"/>
  <c r="AA4" i="6"/>
  <c r="AA18" i="6" s="1"/>
  <c r="Z22" i="6"/>
  <c r="X45" i="1"/>
  <c r="A26" i="10"/>
  <c r="AI29" i="6"/>
  <c r="AH34" i="6"/>
  <c r="AA37" i="6"/>
  <c r="Z43" i="6"/>
  <c r="Z45" i="6" s="1"/>
  <c r="AB4" i="6" l="1"/>
  <c r="AB18" i="6" s="1"/>
  <c r="AA22" i="6"/>
  <c r="Z17" i="6"/>
  <c r="Z46" i="1" s="1"/>
  <c r="Z8" i="6"/>
  <c r="Z44" i="1" s="1"/>
  <c r="Z9" i="6"/>
  <c r="Z45" i="1" s="1"/>
  <c r="A27" i="10"/>
  <c r="AB37" i="6"/>
  <c r="AA43" i="6"/>
  <c r="AA45" i="6" s="1"/>
  <c r="AJ29" i="6"/>
  <c r="AI34" i="6"/>
  <c r="AA17" i="6" l="1"/>
  <c r="AA9" i="6"/>
  <c r="AA8" i="6"/>
  <c r="AA44" i="1" s="1"/>
  <c r="AB44" i="1" s="1"/>
  <c r="AB22" i="6"/>
  <c r="AC4" i="6"/>
  <c r="AC18" i="6" s="1"/>
  <c r="A28" i="10"/>
  <c r="AK29" i="6"/>
  <c r="AJ34" i="6"/>
  <c r="AC37" i="6"/>
  <c r="AB43" i="6"/>
  <c r="AB45" i="6" s="1"/>
  <c r="AA46" i="1" l="1"/>
  <c r="AB46" i="1" s="1"/>
  <c r="AC22" i="6"/>
  <c r="AD4" i="6"/>
  <c r="AD18" i="6" s="1"/>
  <c r="AB17" i="6"/>
  <c r="AC46" i="1" s="1"/>
  <c r="AB8" i="6"/>
  <c r="AC44" i="1" s="1"/>
  <c r="AB9" i="6"/>
  <c r="AC45" i="1" s="1"/>
  <c r="AA45" i="1"/>
  <c r="AB45" i="1" s="1"/>
  <c r="A29" i="10"/>
  <c r="AL29" i="6"/>
  <c r="AK34" i="6"/>
  <c r="AD37" i="6"/>
  <c r="AC43" i="6"/>
  <c r="AC45" i="6" s="1"/>
  <c r="AE4" i="6" l="1"/>
  <c r="AE18" i="6" s="1"/>
  <c r="AD22" i="6"/>
  <c r="AC17" i="6"/>
  <c r="AD46" i="1" s="1"/>
  <c r="AC8" i="6"/>
  <c r="AD44" i="1" s="1"/>
  <c r="AC9" i="6"/>
  <c r="AD45" i="1" s="1"/>
  <c r="A30" i="10"/>
  <c r="AE37" i="6"/>
  <c r="AD43" i="6"/>
  <c r="AD45" i="6" s="1"/>
  <c r="AM29" i="6"/>
  <c r="AM34" i="6" s="1"/>
  <c r="AL34" i="6"/>
  <c r="AD17" i="6" l="1"/>
  <c r="AE46" i="1" s="1"/>
  <c r="AD9" i="6"/>
  <c r="AE45" i="1" s="1"/>
  <c r="AD8" i="6"/>
  <c r="AE44" i="1" s="1"/>
  <c r="AF4" i="6"/>
  <c r="AF18" i="6" s="1"/>
  <c r="AE22" i="6"/>
  <c r="A31" i="10"/>
  <c r="AF37" i="6"/>
  <c r="AE43" i="6"/>
  <c r="AE45" i="6" s="1"/>
  <c r="AG4" i="6" l="1"/>
  <c r="AG18" i="6" s="1"/>
  <c r="AF22" i="6"/>
  <c r="AE17" i="6"/>
  <c r="AF46" i="1" s="1"/>
  <c r="AE9" i="6"/>
  <c r="AF45" i="1" s="1"/>
  <c r="AE8" i="6"/>
  <c r="AF44" i="1" s="1"/>
  <c r="A32" i="10"/>
  <c r="A33" i="10" s="1"/>
  <c r="A34" i="10" s="1"/>
  <c r="A35" i="10" s="1"/>
  <c r="A36" i="10" s="1"/>
  <c r="A37" i="10" s="1"/>
  <c r="A38" i="10" s="1"/>
  <c r="AG37" i="6"/>
  <c r="AF43" i="6"/>
  <c r="AF45" i="6" s="1"/>
  <c r="AF17" i="6" l="1"/>
  <c r="AG46" i="1" s="1"/>
  <c r="AF9" i="6"/>
  <c r="AG45" i="1" s="1"/>
  <c r="AF8" i="6"/>
  <c r="AG44" i="1" s="1"/>
  <c r="AH4" i="6"/>
  <c r="AH18" i="6" s="1"/>
  <c r="AG22" i="6"/>
  <c r="AH37" i="6"/>
  <c r="AG43" i="6"/>
  <c r="AG45" i="6" s="1"/>
  <c r="AG17" i="6" l="1"/>
  <c r="AH46" i="1" s="1"/>
  <c r="AG9" i="6"/>
  <c r="AH45" i="1" s="1"/>
  <c r="AG8" i="6"/>
  <c r="AH44" i="1" s="1"/>
  <c r="AI4" i="6"/>
  <c r="AI18" i="6" s="1"/>
  <c r="AH22" i="6"/>
  <c r="AI37" i="6"/>
  <c r="AH43" i="6"/>
  <c r="AH45" i="6" s="1"/>
  <c r="AH17" i="6" l="1"/>
  <c r="AI46" i="1" s="1"/>
  <c r="AH8" i="6"/>
  <c r="AI44" i="1" s="1"/>
  <c r="AH9" i="6"/>
  <c r="AI45" i="1" s="1"/>
  <c r="AI22" i="6"/>
  <c r="AJ4" i="6"/>
  <c r="AJ18" i="6" s="1"/>
  <c r="AJ37" i="6"/>
  <c r="AI43" i="6"/>
  <c r="AI45" i="6" s="1"/>
  <c r="AI17" i="6" l="1"/>
  <c r="AJ46" i="1" s="1"/>
  <c r="AI8" i="6"/>
  <c r="AJ44" i="1" s="1"/>
  <c r="AI9" i="6"/>
  <c r="AJ22" i="6"/>
  <c r="AK4" i="6"/>
  <c r="AK18" i="6" s="1"/>
  <c r="AK37" i="6"/>
  <c r="AJ43" i="6"/>
  <c r="AJ45" i="6" s="1"/>
  <c r="AJ45" i="1" l="1"/>
  <c r="AL4" i="6"/>
  <c r="AL18" i="6" s="1"/>
  <c r="AK22" i="6"/>
  <c r="AJ17" i="6"/>
  <c r="AK46" i="1" s="1"/>
  <c r="AJ9" i="6"/>
  <c r="AJ8" i="6"/>
  <c r="AK44" i="1" s="1"/>
  <c r="AL37" i="6"/>
  <c r="AK43" i="6"/>
  <c r="AK45" i="6" s="1"/>
  <c r="AM4" i="6" l="1"/>
  <c r="AM18" i="6" s="1"/>
  <c r="AL22" i="6"/>
  <c r="AK45" i="1"/>
  <c r="AK17" i="6"/>
  <c r="AL46" i="1" s="1"/>
  <c r="AK9" i="6"/>
  <c r="AL45" i="1" s="1"/>
  <c r="AK8" i="6"/>
  <c r="AL44" i="1" s="1"/>
  <c r="AM37" i="6"/>
  <c r="AL43" i="6"/>
  <c r="AL45" i="6" s="1"/>
  <c r="AM43" i="6" l="1"/>
  <c r="AM45" i="6" s="1"/>
  <c r="AL17" i="6"/>
  <c r="AM46" i="1" s="1"/>
  <c r="AL9" i="6"/>
  <c r="AL8" i="6"/>
  <c r="AM44" i="1" s="1"/>
  <c r="AM22" i="6"/>
  <c r="AM17" i="6" l="1"/>
  <c r="AM8" i="6"/>
  <c r="AM9" i="6"/>
  <c r="AM45" i="1"/>
  <c r="AN45" i="1" l="1"/>
  <c r="AO45" i="1" s="1"/>
  <c r="AN44" i="1"/>
  <c r="AN46" i="1"/>
  <c r="AO44" i="1" l="1"/>
  <c r="AO46" i="1"/>
  <c r="AM11" i="6" l="1"/>
  <c r="AL11" i="6"/>
  <c r="AK11" i="6"/>
  <c r="AJ11" i="6"/>
  <c r="AI11" i="6"/>
  <c r="AH11" i="6"/>
  <c r="AG11" i="6"/>
  <c r="AF11" i="6"/>
  <c r="AE11" i="6"/>
  <c r="AD11" i="6"/>
  <c r="AC11" i="6"/>
  <c r="AB11" i="6"/>
  <c r="AA11" i="6"/>
  <c r="Z11" i="6"/>
  <c r="Y11" i="6"/>
  <c r="X11" i="6"/>
  <c r="W11" i="6"/>
  <c r="V11" i="6"/>
  <c r="U11" i="6"/>
  <c r="T11" i="6"/>
  <c r="S11" i="6"/>
  <c r="R11" i="6"/>
  <c r="Q11" i="6"/>
  <c r="E11" i="6"/>
  <c r="O38" i="1" l="1"/>
  <c r="O47" i="1" s="1"/>
  <c r="O50" i="1" s="1"/>
  <c r="O62" i="1" s="1"/>
  <c r="O66" i="1" s="1"/>
  <c r="P64" i="1" s="1"/>
  <c r="AB64" i="1" s="1"/>
  <c r="AN27" i="1"/>
  <c r="AN39" i="1"/>
  <c r="AN48" i="1"/>
  <c r="AN59" i="1"/>
  <c r="AN60" i="1" s="1"/>
  <c r="AM59" i="1"/>
  <c r="AM60" i="1"/>
  <c r="AM27" i="1"/>
  <c r="AM39" i="1"/>
  <c r="AM48" i="1"/>
  <c r="AL59" i="1"/>
  <c r="AL60" i="1"/>
  <c r="AL27" i="1"/>
  <c r="AL39" i="1"/>
  <c r="AL48" i="1"/>
  <c r="AK59" i="1"/>
  <c r="AK60" i="1"/>
  <c r="AK27" i="1"/>
  <c r="AK39" i="1"/>
  <c r="AK48" i="1"/>
  <c r="AJ59" i="1"/>
  <c r="AJ60" i="1"/>
  <c r="AJ27" i="1"/>
  <c r="AJ39" i="1"/>
  <c r="AJ48" i="1"/>
  <c r="AI59" i="1"/>
  <c r="AI60" i="1"/>
  <c r="AI27" i="1"/>
  <c r="AI39" i="1"/>
  <c r="AI48" i="1"/>
  <c r="AH59" i="1"/>
  <c r="AH60" i="1"/>
  <c r="AH27" i="1"/>
  <c r="AH39" i="1"/>
  <c r="AH48" i="1"/>
  <c r="AG59" i="1"/>
  <c r="AG60" i="1"/>
  <c r="AG27" i="1"/>
  <c r="AG39" i="1"/>
  <c r="AG48" i="1"/>
  <c r="AF59" i="1"/>
  <c r="AF60" i="1"/>
  <c r="AF27" i="1"/>
  <c r="AF39" i="1"/>
  <c r="AF48" i="1"/>
  <c r="AE59" i="1"/>
  <c r="AE60" i="1"/>
  <c r="AE27" i="1"/>
  <c r="AE39" i="1"/>
  <c r="AE48" i="1"/>
  <c r="AD59" i="1"/>
  <c r="AD60" i="1"/>
  <c r="AD27" i="1"/>
  <c r="AD39" i="1"/>
  <c r="AD48" i="1"/>
  <c r="AC27" i="1"/>
  <c r="AO27" i="1"/>
  <c r="AC59" i="1"/>
  <c r="AO59" i="1" s="1"/>
  <c r="AO60" i="1" s="1"/>
  <c r="AC60" i="1"/>
  <c r="AA27" i="1"/>
  <c r="AA39" i="1"/>
  <c r="AA48" i="1"/>
  <c r="AA59" i="1"/>
  <c r="AA60" i="1"/>
  <c r="Z59" i="1"/>
  <c r="Z60" i="1"/>
  <c r="Z27" i="1"/>
  <c r="Z39" i="1"/>
  <c r="Z48" i="1"/>
  <c r="Y59" i="1"/>
  <c r="Y60" i="1"/>
  <c r="Y27" i="1"/>
  <c r="Y39" i="1"/>
  <c r="Y48" i="1"/>
  <c r="X59" i="1"/>
  <c r="X60" i="1"/>
  <c r="X27" i="1"/>
  <c r="X39" i="1"/>
  <c r="X48" i="1"/>
  <c r="W59" i="1"/>
  <c r="W60" i="1"/>
  <c r="W27" i="1"/>
  <c r="W39" i="1"/>
  <c r="W48" i="1"/>
  <c r="V59" i="1"/>
  <c r="V60" i="1"/>
  <c r="V27" i="1"/>
  <c r="V39" i="1"/>
  <c r="V48" i="1"/>
  <c r="U59" i="1"/>
  <c r="U60" i="1"/>
  <c r="U27" i="1"/>
  <c r="U39" i="1"/>
  <c r="U48" i="1"/>
  <c r="T59" i="1"/>
  <c r="T60" i="1"/>
  <c r="T27" i="1"/>
  <c r="T39" i="1"/>
  <c r="T48" i="1"/>
  <c r="S59" i="1"/>
  <c r="S60" i="1"/>
  <c r="S27" i="1"/>
  <c r="S39" i="1"/>
  <c r="S48" i="1"/>
  <c r="R59" i="1"/>
  <c r="R60" i="1"/>
  <c r="R27" i="1"/>
  <c r="R39" i="1"/>
  <c r="R48" i="1"/>
  <c r="Q59" i="1"/>
  <c r="Q60" i="1"/>
  <c r="Q27" i="1"/>
  <c r="Q39" i="1"/>
  <c r="Q48" i="1"/>
  <c r="P27" i="1"/>
  <c r="AB27" i="1"/>
  <c r="P59" i="1"/>
  <c r="AB59" i="1" s="1"/>
  <c r="AB60" i="1" s="1"/>
  <c r="P60" i="1"/>
  <c r="O59" i="1"/>
  <c r="N59" i="1"/>
  <c r="N60" i="1"/>
  <c r="O48" i="1"/>
  <c r="E19" i="6"/>
  <c r="N27" i="1"/>
  <c r="N39" i="1"/>
  <c r="N48" i="1"/>
  <c r="O39" i="1"/>
  <c r="O40" i="1"/>
  <c r="O28" i="1"/>
  <c r="E28" i="1"/>
  <c r="E40" i="1" s="1"/>
  <c r="F48" i="6"/>
  <c r="N28" i="1"/>
  <c r="N40" i="1" s="1"/>
  <c r="O48" i="6"/>
  <c r="M28" i="1"/>
  <c r="M40" i="1" s="1"/>
  <c r="N48" i="6"/>
  <c r="M59" i="1"/>
  <c r="M60" i="1"/>
  <c r="M27" i="1"/>
  <c r="M30" i="1" s="1"/>
  <c r="M38" i="1" s="1"/>
  <c r="M47" i="1" s="1"/>
  <c r="M50" i="1" s="1"/>
  <c r="M62" i="1" s="1"/>
  <c r="M66" i="1" s="1"/>
  <c r="M39" i="1"/>
  <c r="M48" i="1"/>
  <c r="L28" i="1"/>
  <c r="L40" i="1" s="1"/>
  <c r="M48" i="6"/>
  <c r="N19" i="6"/>
  <c r="L59" i="1"/>
  <c r="L60" i="1"/>
  <c r="L27" i="1"/>
  <c r="L30" i="1" s="1"/>
  <c r="L38" i="1" s="1"/>
  <c r="L47" i="1" s="1"/>
  <c r="L50" i="1" s="1"/>
  <c r="L62" i="1" s="1"/>
  <c r="L66" i="1" s="1"/>
  <c r="L39" i="1"/>
  <c r="L48" i="1"/>
  <c r="K28" i="1"/>
  <c r="L48" i="6" s="1"/>
  <c r="K40" i="1"/>
  <c r="K59" i="1"/>
  <c r="K60" i="1"/>
  <c r="K27" i="1"/>
  <c r="K30" i="1" s="1"/>
  <c r="K38" i="1" s="1"/>
  <c r="K47" i="1" s="1"/>
  <c r="K50" i="1" s="1"/>
  <c r="K62" i="1" s="1"/>
  <c r="K66" i="1" s="1"/>
  <c r="K39" i="1"/>
  <c r="K48" i="1"/>
  <c r="J28" i="1"/>
  <c r="J40" i="1" s="1"/>
  <c r="K48" i="6"/>
  <c r="J59" i="1"/>
  <c r="J60" i="1"/>
  <c r="J27" i="1"/>
  <c r="J30" i="1" s="1"/>
  <c r="J38" i="1" s="1"/>
  <c r="J47" i="1" s="1"/>
  <c r="J50" i="1" s="1"/>
  <c r="J62" i="1" s="1"/>
  <c r="J66" i="1" s="1"/>
  <c r="J39" i="1"/>
  <c r="J48" i="1"/>
  <c r="I28" i="1"/>
  <c r="I40" i="1" s="1"/>
  <c r="J48" i="6"/>
  <c r="J19" i="6"/>
  <c r="I59" i="1"/>
  <c r="I60" i="1"/>
  <c r="I27" i="1"/>
  <c r="I30" i="1" s="1"/>
  <c r="I38" i="1" s="1"/>
  <c r="I47" i="1" s="1"/>
  <c r="I50" i="1" s="1"/>
  <c r="I62" i="1" s="1"/>
  <c r="I66" i="1" s="1"/>
  <c r="I39" i="1"/>
  <c r="I48" i="1"/>
  <c r="H59" i="1"/>
  <c r="H60" i="1"/>
  <c r="H28" i="1"/>
  <c r="H40" i="1" s="1"/>
  <c r="I48" i="6"/>
  <c r="H27" i="1"/>
  <c r="H30" i="1" s="1"/>
  <c r="H38" i="1" s="1"/>
  <c r="H47" i="1" s="1"/>
  <c r="H50" i="1" s="1"/>
  <c r="H62" i="1" s="1"/>
  <c r="H66" i="1" s="1"/>
  <c r="H39" i="1"/>
  <c r="H48" i="1"/>
  <c r="G28" i="1"/>
  <c r="G40" i="1" s="1"/>
  <c r="H48" i="6"/>
  <c r="G59" i="1"/>
  <c r="G60" i="1"/>
  <c r="G27" i="1"/>
  <c r="G30" i="1" s="1"/>
  <c r="G38" i="1" s="1"/>
  <c r="G47" i="1" s="1"/>
  <c r="G50" i="1" s="1"/>
  <c r="G62" i="1" s="1"/>
  <c r="G66" i="1" s="1"/>
  <c r="G39" i="1"/>
  <c r="G48" i="1"/>
  <c r="F28" i="1"/>
  <c r="F40" i="1" s="1"/>
  <c r="G48" i="6"/>
  <c r="G19" i="6"/>
  <c r="F59" i="1"/>
  <c r="F60" i="1"/>
  <c r="F27" i="1"/>
  <c r="F30" i="1" s="1"/>
  <c r="F38" i="1" s="1"/>
  <c r="F47" i="1" s="1"/>
  <c r="F50" i="1" s="1"/>
  <c r="F62" i="1" s="1"/>
  <c r="F66" i="1" s="1"/>
  <c r="F39" i="1"/>
  <c r="F48" i="1"/>
  <c r="F19" i="6"/>
  <c r="F49" i="1" s="1"/>
  <c r="E49" i="1"/>
  <c r="O27" i="1"/>
  <c r="O30" i="1"/>
  <c r="E59" i="1"/>
  <c r="E60" i="1"/>
  <c r="D27" i="1"/>
  <c r="D29" i="1"/>
  <c r="E14" i="6" s="1"/>
  <c r="D37" i="1"/>
  <c r="D46" i="1"/>
  <c r="D49" i="1"/>
  <c r="D61" i="1" s="1"/>
  <c r="D65" i="1" s="1"/>
  <c r="E64" i="1" s="1"/>
  <c r="O49" i="1"/>
  <c r="D58" i="1"/>
  <c r="E27" i="1"/>
  <c r="E30" i="1" s="1"/>
  <c r="E38" i="1" s="1"/>
  <c r="E47" i="1" s="1"/>
  <c r="E50" i="1" s="1"/>
  <c r="E62" i="1" s="1"/>
  <c r="E66" i="1" s="1"/>
  <c r="E39" i="1"/>
  <c r="E48" i="1"/>
  <c r="F10" i="6" l="1"/>
  <c r="F11" i="6" s="1"/>
  <c r="F64" i="1"/>
  <c r="E15" i="6"/>
  <c r="F15" i="6" s="1"/>
  <c r="G15" i="6" s="1"/>
  <c r="H15" i="6" s="1"/>
  <c r="I15" i="6" s="1"/>
  <c r="J15" i="6" s="1"/>
  <c r="K15" i="6" s="1"/>
  <c r="L15" i="6" s="1"/>
  <c r="M15" i="6" s="1"/>
  <c r="N15" i="6" s="1"/>
  <c r="O15" i="6" s="1"/>
  <c r="P15" i="6" s="1"/>
  <c r="Q15" i="6" s="1"/>
  <c r="R15" i="6" s="1"/>
  <c r="S15" i="6" s="1"/>
  <c r="T15" i="6" s="1"/>
  <c r="U15" i="6" s="1"/>
  <c r="V15" i="6" s="1"/>
  <c r="W15" i="6" s="1"/>
  <c r="X15" i="6" s="1"/>
  <c r="Y15" i="6" s="1"/>
  <c r="Z15" i="6" s="1"/>
  <c r="AA15" i="6" s="1"/>
  <c r="AB15" i="6" s="1"/>
  <c r="AC15" i="6" s="1"/>
  <c r="AD15" i="6" s="1"/>
  <c r="AE15" i="6" s="1"/>
  <c r="AF15" i="6" s="1"/>
  <c r="AG15" i="6" s="1"/>
  <c r="AH15" i="6" s="1"/>
  <c r="AI15" i="6" s="1"/>
  <c r="AJ15" i="6" s="1"/>
  <c r="AK15" i="6" s="1"/>
  <c r="AL15" i="6" s="1"/>
  <c r="AM15" i="6" s="1"/>
  <c r="O58" i="1"/>
  <c r="O60" i="1" s="1"/>
  <c r="D59" i="1"/>
  <c r="F14" i="6"/>
  <c r="E20" i="6"/>
  <c r="D39" i="1"/>
  <c r="E48" i="6"/>
  <c r="G10" i="6"/>
  <c r="G11" i="6" s="1"/>
  <c r="G64" i="1"/>
  <c r="I19" i="6"/>
  <c r="H19" i="6"/>
  <c r="G49" i="1" s="1"/>
  <c r="H10" i="6"/>
  <c r="H11" i="6" s="1"/>
  <c r="H64" i="1"/>
  <c r="I10" i="6"/>
  <c r="I11" i="6" s="1"/>
  <c r="I64" i="1"/>
  <c r="J10" i="6"/>
  <c r="J11" i="6" s="1"/>
  <c r="J64" i="1"/>
  <c r="L19" i="6"/>
  <c r="K19" i="6"/>
  <c r="J49" i="1" s="1"/>
  <c r="K10" i="6"/>
  <c r="K11" i="6" s="1"/>
  <c r="K64" i="1"/>
  <c r="L10" i="6"/>
  <c r="L11" i="6" s="1"/>
  <c r="L64" i="1"/>
  <c r="M10" i="6"/>
  <c r="M11" i="6" s="1"/>
  <c r="M64" i="1"/>
  <c r="O19" i="6"/>
  <c r="N49" i="1" s="1"/>
  <c r="M19" i="6"/>
  <c r="N10" i="6"/>
  <c r="N11" i="6" s="1"/>
  <c r="N64" i="1"/>
  <c r="N30" i="1"/>
  <c r="N38" i="1" s="1"/>
  <c r="N47" i="1" s="1"/>
  <c r="N50" i="1" s="1"/>
  <c r="N62" i="1" s="1"/>
  <c r="N66" i="1" s="1"/>
  <c r="O10" i="6" s="1"/>
  <c r="O11" i="6" s="1"/>
  <c r="D48" i="1"/>
  <c r="P39" i="1"/>
  <c r="AA28" i="1"/>
  <c r="Z28" i="1"/>
  <c r="Y28" i="1"/>
  <c r="X28" i="1"/>
  <c r="W28" i="1"/>
  <c r="V28" i="1"/>
  <c r="U28" i="1"/>
  <c r="T28" i="1"/>
  <c r="S28" i="1"/>
  <c r="R28" i="1"/>
  <c r="Q28" i="1"/>
  <c r="P28" i="1"/>
  <c r="Q30" i="1"/>
  <c r="Q38" i="1" s="1"/>
  <c r="Q47" i="1" s="1"/>
  <c r="Q50" i="1" s="1"/>
  <c r="Q62" i="1" s="1"/>
  <c r="Q66" i="1" s="1"/>
  <c r="R30" i="1"/>
  <c r="R38" i="1" s="1"/>
  <c r="R47" i="1" s="1"/>
  <c r="R50" i="1" s="1"/>
  <c r="R62" i="1" s="1"/>
  <c r="R66" i="1" s="1"/>
  <c r="S30" i="1"/>
  <c r="S38" i="1" s="1"/>
  <c r="S47" i="1" s="1"/>
  <c r="S50" i="1" s="1"/>
  <c r="S62" i="1" s="1"/>
  <c r="S66" i="1" s="1"/>
  <c r="T30" i="1"/>
  <c r="T38" i="1" s="1"/>
  <c r="T47" i="1" s="1"/>
  <c r="T50" i="1" s="1"/>
  <c r="T62" i="1" s="1"/>
  <c r="T66" i="1" s="1"/>
  <c r="U30" i="1"/>
  <c r="U38" i="1" s="1"/>
  <c r="U47" i="1" s="1"/>
  <c r="U50" i="1" s="1"/>
  <c r="U62" i="1" s="1"/>
  <c r="U66" i="1" s="1"/>
  <c r="V30" i="1"/>
  <c r="V38" i="1" s="1"/>
  <c r="V47" i="1" s="1"/>
  <c r="V50" i="1" s="1"/>
  <c r="V62" i="1" s="1"/>
  <c r="V66" i="1" s="1"/>
  <c r="W30" i="1"/>
  <c r="W38" i="1" s="1"/>
  <c r="W47" i="1" s="1"/>
  <c r="W50" i="1" s="1"/>
  <c r="W62" i="1" s="1"/>
  <c r="W66" i="1" s="1"/>
  <c r="X30" i="1"/>
  <c r="X38" i="1" s="1"/>
  <c r="X47" i="1" s="1"/>
  <c r="X50" i="1" s="1"/>
  <c r="X62" i="1" s="1"/>
  <c r="X66" i="1" s="1"/>
  <c r="Y30" i="1"/>
  <c r="Y38" i="1" s="1"/>
  <c r="Y47" i="1" s="1"/>
  <c r="Y50" i="1" s="1"/>
  <c r="Y62" i="1" s="1"/>
  <c r="Y66" i="1" s="1"/>
  <c r="Z30" i="1"/>
  <c r="Z38" i="1" s="1"/>
  <c r="Z47" i="1" s="1"/>
  <c r="Z50" i="1" s="1"/>
  <c r="Z62" i="1" s="1"/>
  <c r="Z66" i="1" s="1"/>
  <c r="AA30" i="1"/>
  <c r="AA38" i="1" s="1"/>
  <c r="AA47" i="1" s="1"/>
  <c r="AA50" i="1" s="1"/>
  <c r="AA62" i="1" s="1"/>
  <c r="AA66" i="1" s="1"/>
  <c r="AA10" i="6" s="1"/>
  <c r="AC39" i="1"/>
  <c r="AN28" i="1"/>
  <c r="AM28" i="1"/>
  <c r="AL28" i="1"/>
  <c r="AK28" i="1"/>
  <c r="AJ28" i="1"/>
  <c r="AI28" i="1"/>
  <c r="AH28" i="1"/>
  <c r="AG28" i="1"/>
  <c r="AF28" i="1"/>
  <c r="AE28" i="1"/>
  <c r="AD28" i="1"/>
  <c r="AC28" i="1"/>
  <c r="AD30" i="1"/>
  <c r="AD38" i="1" s="1"/>
  <c r="AD47" i="1" s="1"/>
  <c r="AD50" i="1" s="1"/>
  <c r="AD62" i="1" s="1"/>
  <c r="AD66" i="1" s="1"/>
  <c r="AE30" i="1"/>
  <c r="AE38" i="1" s="1"/>
  <c r="AE47" i="1" s="1"/>
  <c r="AE50" i="1" s="1"/>
  <c r="AE62" i="1" s="1"/>
  <c r="AE66" i="1" s="1"/>
  <c r="AF30" i="1"/>
  <c r="AF38" i="1" s="1"/>
  <c r="AF47" i="1" s="1"/>
  <c r="AF50" i="1" s="1"/>
  <c r="AF62" i="1" s="1"/>
  <c r="AF66" i="1" s="1"/>
  <c r="AG30" i="1"/>
  <c r="AG38" i="1" s="1"/>
  <c r="AG47" i="1" s="1"/>
  <c r="AG50" i="1" s="1"/>
  <c r="AG62" i="1" s="1"/>
  <c r="AG66" i="1" s="1"/>
  <c r="AH30" i="1"/>
  <c r="AH38" i="1" s="1"/>
  <c r="AH47" i="1" s="1"/>
  <c r="AH50" i="1" s="1"/>
  <c r="AH62" i="1" s="1"/>
  <c r="AH66" i="1" s="1"/>
  <c r="AI30" i="1"/>
  <c r="AI38" i="1" s="1"/>
  <c r="AI47" i="1" s="1"/>
  <c r="AI50" i="1" s="1"/>
  <c r="AI62" i="1" s="1"/>
  <c r="AI66" i="1" s="1"/>
  <c r="AJ30" i="1"/>
  <c r="AJ38" i="1" s="1"/>
  <c r="AJ47" i="1" s="1"/>
  <c r="AJ50" i="1" s="1"/>
  <c r="AJ62" i="1" s="1"/>
  <c r="AJ66" i="1" s="1"/>
  <c r="AK30" i="1"/>
  <c r="AK38" i="1" s="1"/>
  <c r="AK47" i="1" s="1"/>
  <c r="AK50" i="1" s="1"/>
  <c r="AK62" i="1" s="1"/>
  <c r="AK66" i="1" s="1"/>
  <c r="AL30" i="1"/>
  <c r="AL38" i="1" s="1"/>
  <c r="AL47" i="1" s="1"/>
  <c r="AL50" i="1" s="1"/>
  <c r="AL62" i="1" s="1"/>
  <c r="AL66" i="1" s="1"/>
  <c r="AM30" i="1"/>
  <c r="AM38" i="1" s="1"/>
  <c r="AM47" i="1" s="1"/>
  <c r="AM50" i="1" s="1"/>
  <c r="AM62" i="1" s="1"/>
  <c r="AM66" i="1" s="1"/>
  <c r="AN30" i="1"/>
  <c r="AN38" i="1" s="1"/>
  <c r="AN47" i="1" s="1"/>
  <c r="AN50" i="1" s="1"/>
  <c r="AN62" i="1" s="1"/>
  <c r="AN66" i="1" s="1"/>
  <c r="AM10" i="6" s="1"/>
  <c r="AN64" i="1" l="1"/>
  <c r="AL10" i="6"/>
  <c r="AK10" i="6"/>
  <c r="AM64" i="1"/>
  <c r="AL64" i="1"/>
  <c r="AJ10" i="6"/>
  <c r="AK64" i="1"/>
  <c r="AI10" i="6"/>
  <c r="AJ64" i="1"/>
  <c r="AH10" i="6"/>
  <c r="AI64" i="1"/>
  <c r="AG10" i="6"/>
  <c r="AF10" i="6"/>
  <c r="AH64" i="1"/>
  <c r="AE10" i="6"/>
  <c r="AG64" i="1"/>
  <c r="AF64" i="1"/>
  <c r="AD10" i="6"/>
  <c r="AC10" i="6"/>
  <c r="AE64" i="1"/>
  <c r="AC40" i="1"/>
  <c r="AO40" i="1" s="1"/>
  <c r="AO28" i="1"/>
  <c r="AO30" i="1" s="1"/>
  <c r="AB48" i="6"/>
  <c r="AC30" i="1"/>
  <c r="AC38" i="1" s="1"/>
  <c r="AC48" i="6"/>
  <c r="AD40" i="1"/>
  <c r="AE40" i="1"/>
  <c r="AD48" i="6"/>
  <c r="AF40" i="1"/>
  <c r="AE48" i="6"/>
  <c r="AG40" i="1"/>
  <c r="AF48" i="6"/>
  <c r="AG48" i="6"/>
  <c r="AH40" i="1"/>
  <c r="AI40" i="1"/>
  <c r="AH48" i="6"/>
  <c r="AJ40" i="1"/>
  <c r="AI48" i="6"/>
  <c r="AK40" i="1"/>
  <c r="AJ48" i="6"/>
  <c r="AL40" i="1"/>
  <c r="AK48" i="6"/>
  <c r="AM40" i="1"/>
  <c r="AL48" i="6"/>
  <c r="AM48" i="6"/>
  <c r="AN40" i="1"/>
  <c r="AO39" i="1"/>
  <c r="AC48" i="1"/>
  <c r="AO48" i="1" s="1"/>
  <c r="Z10" i="6"/>
  <c r="AA64" i="1"/>
  <c r="Y10" i="6"/>
  <c r="Z64" i="1"/>
  <c r="X10" i="6"/>
  <c r="Y64" i="1"/>
  <c r="W10" i="6"/>
  <c r="X64" i="1"/>
  <c r="W64" i="1"/>
  <c r="V10" i="6"/>
  <c r="V64" i="1"/>
  <c r="U10" i="6"/>
  <c r="T10" i="6"/>
  <c r="U64" i="1"/>
  <c r="S10" i="6"/>
  <c r="T64" i="1"/>
  <c r="S64" i="1"/>
  <c r="R10" i="6"/>
  <c r="R64" i="1"/>
  <c r="Q10" i="6"/>
  <c r="P40" i="1"/>
  <c r="AB40" i="1" s="1"/>
  <c r="AB28" i="1"/>
  <c r="AB30" i="1" s="1"/>
  <c r="P48" i="6"/>
  <c r="P30" i="1"/>
  <c r="P38" i="1" s="1"/>
  <c r="Q40" i="1"/>
  <c r="Q48" i="6"/>
  <c r="R40" i="1"/>
  <c r="R48" i="6"/>
  <c r="S40" i="1"/>
  <c r="S48" i="6"/>
  <c r="T48" i="6"/>
  <c r="T40" i="1"/>
  <c r="U48" i="6"/>
  <c r="U40" i="1"/>
  <c r="V40" i="1"/>
  <c r="V48" i="6"/>
  <c r="W40" i="1"/>
  <c r="W48" i="6"/>
  <c r="X40" i="1"/>
  <c r="X48" i="6"/>
  <c r="Y40" i="1"/>
  <c r="Y48" i="6"/>
  <c r="Z40" i="1"/>
  <c r="Z48" i="6"/>
  <c r="AA40" i="1"/>
  <c r="AA48" i="6"/>
  <c r="P48" i="1"/>
  <c r="AB48" i="1" s="1"/>
  <c r="AB39" i="1"/>
  <c r="L49" i="1"/>
  <c r="M49" i="1"/>
  <c r="K49" i="1"/>
  <c r="I49" i="1"/>
  <c r="H49" i="1"/>
  <c r="G14" i="6"/>
  <c r="F20" i="6"/>
  <c r="H14" i="6" l="1"/>
  <c r="G20" i="6"/>
  <c r="AA19" i="6"/>
  <c r="Z19" i="6"/>
  <c r="Y19" i="6"/>
  <c r="X19" i="6"/>
  <c r="W19" i="6"/>
  <c r="V19" i="6"/>
  <c r="U19" i="6"/>
  <c r="T19" i="6"/>
  <c r="S19" i="6"/>
  <c r="AB38" i="1"/>
  <c r="AB47" i="1" s="1"/>
  <c r="AB50" i="1" s="1"/>
  <c r="AB62" i="1" s="1"/>
  <c r="AB66" i="1" s="1"/>
  <c r="AC64" i="1" s="1"/>
  <c r="AO64" i="1" s="1"/>
  <c r="P47" i="1"/>
  <c r="P50" i="1" s="1"/>
  <c r="P62" i="1" s="1"/>
  <c r="P66" i="1" s="1"/>
  <c r="P19" i="6"/>
  <c r="P49" i="1" s="1"/>
  <c r="AB49" i="1" s="1"/>
  <c r="R19" i="6"/>
  <c r="Q19" i="6"/>
  <c r="Q49" i="1" s="1"/>
  <c r="AM19" i="6"/>
  <c r="AL19" i="6"/>
  <c r="AK19" i="6"/>
  <c r="AJ19" i="6"/>
  <c r="AI19" i="6"/>
  <c r="AH19" i="6"/>
  <c r="AG19" i="6"/>
  <c r="AF19" i="6"/>
  <c r="AE19" i="6"/>
  <c r="AO38" i="1"/>
  <c r="AO47" i="1" s="1"/>
  <c r="AO50" i="1" s="1"/>
  <c r="AO62" i="1" s="1"/>
  <c r="AO66" i="1" s="1"/>
  <c r="AC47" i="1"/>
  <c r="AC50" i="1" s="1"/>
  <c r="AC62" i="1" s="1"/>
  <c r="AC66" i="1" s="1"/>
  <c r="AB19" i="6"/>
  <c r="AC49" i="1" s="1"/>
  <c r="AO49" i="1" s="1"/>
  <c r="AD19" i="6"/>
  <c r="AC19" i="6"/>
  <c r="AD49" i="1" s="1"/>
  <c r="AE49" i="1" l="1"/>
  <c r="AB10" i="6"/>
  <c r="AD64" i="1"/>
  <c r="AF49" i="1"/>
  <c r="AG49" i="1"/>
  <c r="AH49" i="1"/>
  <c r="AI49" i="1"/>
  <c r="AJ49" i="1"/>
  <c r="AK49" i="1"/>
  <c r="AL49" i="1"/>
  <c r="AM49" i="1"/>
  <c r="AN49" i="1"/>
  <c r="R49" i="1"/>
  <c r="P10" i="6"/>
  <c r="P11" i="6" s="1"/>
  <c r="Q64" i="1"/>
  <c r="S49" i="1"/>
  <c r="T49" i="1"/>
  <c r="U49" i="1"/>
  <c r="V49" i="1"/>
  <c r="W49" i="1"/>
  <c r="X49" i="1"/>
  <c r="Y49" i="1"/>
  <c r="Z49" i="1"/>
  <c r="AA49" i="1"/>
  <c r="I14" i="6"/>
  <c r="H20" i="6"/>
  <c r="J14" i="6" l="1"/>
  <c r="I20" i="6"/>
  <c r="K14" i="6" l="1"/>
  <c r="J20" i="6"/>
  <c r="L14" i="6" l="1"/>
  <c r="K20" i="6"/>
  <c r="M14" i="6" l="1"/>
  <c r="L20" i="6"/>
  <c r="N14" i="6" l="1"/>
  <c r="M20" i="6"/>
  <c r="O14" i="6" l="1"/>
  <c r="N20" i="6"/>
  <c r="P14" i="6" l="1"/>
  <c r="O20" i="6"/>
  <c r="Q14" i="6" l="1"/>
  <c r="P20" i="6"/>
  <c r="R14" i="6" l="1"/>
  <c r="Q20" i="6"/>
  <c r="S14" i="6" l="1"/>
  <c r="R20" i="6"/>
  <c r="T14" i="6" l="1"/>
  <c r="S20" i="6"/>
  <c r="U14" i="6" l="1"/>
  <c r="T20" i="6"/>
  <c r="V14" i="6" l="1"/>
  <c r="U20" i="6"/>
  <c r="W14" i="6" l="1"/>
  <c r="V20" i="6"/>
  <c r="X14" i="6" l="1"/>
  <c r="W20" i="6"/>
  <c r="Y14" i="6" l="1"/>
  <c r="X20" i="6"/>
  <c r="Z14" i="6" l="1"/>
  <c r="Y20" i="6"/>
  <c r="AA14" i="6" l="1"/>
  <c r="Z20" i="6"/>
  <c r="AB14" i="6" l="1"/>
  <c r="AA20" i="6"/>
  <c r="AC14" i="6" l="1"/>
  <c r="AB20" i="6"/>
  <c r="AD14" i="6" l="1"/>
  <c r="AC20" i="6"/>
  <c r="AE14" i="6" l="1"/>
  <c r="AD20" i="6"/>
  <c r="AF14" i="6" l="1"/>
  <c r="AE20" i="6"/>
  <c r="AG14" i="6" l="1"/>
  <c r="AF20" i="6"/>
  <c r="AH14" i="6" l="1"/>
  <c r="AG20" i="6"/>
  <c r="AI14" i="6" l="1"/>
  <c r="AH20" i="6"/>
  <c r="AJ14" i="6" l="1"/>
  <c r="AI20" i="6"/>
  <c r="AK14" i="6" l="1"/>
  <c r="AJ20" i="6"/>
  <c r="AL14" i="6" l="1"/>
  <c r="AK20" i="6"/>
  <c r="AM14" i="6" l="1"/>
  <c r="AM20" i="6" s="1"/>
  <c r="AL2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tc={16313673-1B9A-40BA-98B0-F3A10E74210A}</author>
    <author>tc={A92FE06E-96F3-4BF3-AE7F-CC879BBEB062}</author>
    <author>tc={B421FF4F-1DEF-49DC-933F-AEEDD74FF04E}</author>
  </authors>
  <commentList>
    <comment ref="C8" authorId="0" shapeId="0" xr:uid="{16313673-1B9A-40BA-98B0-F3A10E74210A}">
      <text>
        <t>[Threaded comment]
Your version of Excel allows you to read this threaded comment; however, any edits to it will get removed if the file is opened in a newer version of Excel. Learn more: https://go.microsoft.com/fwlink/?linkid=870924
Comment:
    Arjun</t>
      </text>
    </comment>
    <comment ref="B15" authorId="1" shapeId="0" xr:uid="{A92FE06E-96F3-4BF3-AE7F-CC879BBEB062}">
      <text>
        <t xml:space="preserve">[Threaded comment]
Your version of Excel allows you to read this threaded comment; however, any edits to it will get removed if the file is opened in a newer version of Excel. Learn more: https://go.microsoft.com/fwlink/?linkid=870924
Comment:
    Pd by reimbursing personal Cr Card
</t>
      </text>
    </comment>
    <comment ref="D15" authorId="2" shapeId="0" xr:uid="{B421FF4F-1DEF-49DC-933F-AEEDD74FF04E}">
      <text>
        <t>[Threaded comment]
Your version of Excel allows you to read this threaded comment; however, any edits to it will get removed if the file is opened in a newer version of Excel. Learn more: https://go.microsoft.com/fwlink/?linkid=870924
Comment:
    Sai,  Arjun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Christopher Bird</author>
  </authors>
  <commentList>
    <comment ref="D14" authorId="0" shapeId="0" xr:uid="{10068EDD-745E-4433-82D2-C561F35432BC}">
      <text>
        <r>
          <rPr>
            <b/>
            <sz val="9"/>
            <color indexed="81"/>
            <rFont val="Tahoma"/>
            <family val="2"/>
          </rPr>
          <t>Christopher Bird:</t>
        </r>
        <r>
          <rPr>
            <sz val="9"/>
            <color indexed="81"/>
            <rFont val="Tahoma"/>
            <family val="2"/>
          </rPr>
          <t xml:space="preserve">
Matakorama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<sst xmlns="http://schemas.openxmlformats.org/spreadsheetml/2006/main" count="907" uniqueCount="480">
  <si>
    <t>Turnover</t>
  </si>
  <si>
    <t>Gross Profit</t>
  </si>
  <si>
    <t>Gross Profit %</t>
  </si>
  <si>
    <t>Bank Charges</t>
  </si>
  <si>
    <t>Consumables</t>
  </si>
  <si>
    <t>Inventory</t>
  </si>
  <si>
    <t>Working Capital</t>
  </si>
  <si>
    <t>Help &amp; Customization</t>
  </si>
  <si>
    <t>Inventory Days</t>
  </si>
  <si>
    <t>Income Tax %</t>
  </si>
  <si>
    <t>Interest Rate</t>
  </si>
  <si>
    <t>Assets</t>
  </si>
  <si>
    <t>Current Assets</t>
  </si>
  <si>
    <t>Cash</t>
  </si>
  <si>
    <t>Equity &amp; Liabilities</t>
  </si>
  <si>
    <t>Retained Earnings</t>
  </si>
  <si>
    <t>Current Liabilities</t>
  </si>
  <si>
    <t>Taxation</t>
  </si>
  <si>
    <t>Start-up Balances</t>
  </si>
  <si>
    <t>Long Term Loans</t>
  </si>
  <si>
    <t>Repayment Term (Years)</t>
  </si>
  <si>
    <t>Interest Only</t>
  </si>
  <si>
    <t>No</t>
  </si>
  <si>
    <t>Interest</t>
  </si>
  <si>
    <t>Opening Balance</t>
  </si>
  <si>
    <t>Start Date</t>
  </si>
  <si>
    <t>Days in month</t>
  </si>
  <si>
    <t>Month</t>
  </si>
  <si>
    <t>Provision for Taxation</t>
  </si>
  <si>
    <t>Management Report</t>
  </si>
  <si>
    <t>Reporting Months</t>
  </si>
  <si>
    <t>Instructions</t>
  </si>
  <si>
    <t>Expenses</t>
  </si>
  <si>
    <t>Property, Plant &amp; Equipment</t>
  </si>
  <si>
    <t>Shareholders' Contributions</t>
  </si>
  <si>
    <t>Loan Terms</t>
  </si>
  <si>
    <t>Total Expenses</t>
  </si>
  <si>
    <t>Template Assumptions</t>
  </si>
  <si>
    <t>The debtors days assumption is multiplied by the daily average turnover to determine the debtors closing balance at the end of each monthly period. The daily average turnover is calculated by simply dividing the monthly turnover amount by the number of days in the particular month. The average trading terms that are negotiated with customers can be used in order to estimate the debtors days that should be entered in the template assumptions. If products are not sold on credit, a nil value should be entered for this assumption.</t>
  </si>
  <si>
    <t>The creditors days assumption is multiplied by the sum of the monthly cost of sales amount and the total expenses and the result is divided by the number of days in the particular monthly period in order to calculate the creditors closing balance at the end of the particular month. The value that is entered for this assumption should therefore be carefully considered. Even if the average trading terms with suppliers result in payments being due 30 days after the invoice date, you should remember that a lot of expenses are usually settled on a cash basis (like salaries &amp; wages). You should therefore not only consider supplier trading terms when deciding on an appropriate value to enter in this template assumption but also the percentage of expenses and stock purchases that are settled on a cash basis.</t>
  </si>
  <si>
    <t>This section of the assumptions relates to the balance sheet balances at the start of the cash flow projection period. If you need to compile monthly cash flow projections for an existing business, it should be simple enough to obtain the opening balance sheet account balances. Also, if the business is being acquired from another entity, the opening balances should be entered based on the values that are listed in the acquisition agreement. If the cash flow projections are being compiled for an entirely new business venture, all the start-up balances should be nil.</t>
  </si>
  <si>
    <t>Note: All equity and liability balances should be entered as negative values and the total of all the start-up balance sheet balances should always be nil. We have added conditional formatting to the Start-up balances section on the Assumptions sheet in order to highlight all the values in orange if the total does not equal nil.</t>
  </si>
  <si>
    <t>All amounts that are contributed by the shareholders of the business should be entered as positive values in the shareholders' contributions line and are added to the shareholders' contributions line on the balance sheet.</t>
  </si>
  <si>
    <t>Note: If you are using one of our accounting templates, the actual account balances can simply be copied from the accounting template in order to record actual account balances for the purpose of this template.</t>
  </si>
  <si>
    <t>The default expense items on the management report can be customized by simply deleting the rows that are not required or inserting new rows for the required number of additional expense accounts and copying the formulas in column A to J from one of the existing rows in this section of the report.</t>
  </si>
  <si>
    <t>Note: Refer to our Monthly Cash Flow Projection and Annual Cash Flow Projection templates if you only want to compile a cash flow forecast and do not require a comparison to actual account balances. The monthly cash flow projection template is compiled on the same basis as the cash flow forecast in this template but also includes an automated calculation of a number of key financial ratios (input values can also easily be copied over to the forecast section in this template). The annual cash flow projection template can be used to compile an annual cash flow forecast for a five year period.</t>
  </si>
  <si>
    <t>The following sheets are included in this template:</t>
  </si>
  <si>
    <r>
      <t xml:space="preserve">Assumptions - </t>
    </r>
    <r>
      <rPr>
        <sz val="10"/>
        <rFont val="Arial"/>
        <family val="2"/>
      </rPr>
      <t>this sheet includes the default assumptions on which the monthly cash flow forecast is based.</t>
    </r>
  </si>
  <si>
    <t>Note: If you are using one of our accounting templates, the actual account balances can simply be copied from the accounting template and pasted into the appropriate rows in this template.</t>
  </si>
  <si>
    <t>Monthly Balance Sheets</t>
  </si>
  <si>
    <t>Business Name</t>
  </si>
  <si>
    <t>Cash Flow Forecast - Assumptions</t>
  </si>
  <si>
    <t>Forecast - Income Statement</t>
  </si>
  <si>
    <t>Depreciation</t>
  </si>
  <si>
    <t>Profit / (Loss) for the year</t>
  </si>
  <si>
    <t>Number</t>
  </si>
  <si>
    <t>Forecast - Cash Flow Statement</t>
  </si>
  <si>
    <t>Cash flows from operating activities</t>
  </si>
  <si>
    <t>Adjustment for non-cash expenses:</t>
  </si>
  <si>
    <t>Changes in operating assets &amp; liabilities</t>
  </si>
  <si>
    <t>Receivables</t>
  </si>
  <si>
    <t>Payables</t>
  </si>
  <si>
    <t>Cash generated from operations</t>
  </si>
  <si>
    <t>Interest paid</t>
  </si>
  <si>
    <t>Taxation paid</t>
  </si>
  <si>
    <t>Net cash from operating activities</t>
  </si>
  <si>
    <t>Cash flows from investing activities</t>
  </si>
  <si>
    <t>Purchases of property, plant &amp; equipment</t>
  </si>
  <si>
    <t>Net cash used in investing activities</t>
  </si>
  <si>
    <t>Cash flows from financing activities</t>
  </si>
  <si>
    <t>Proceeds from shareholders' contributions</t>
  </si>
  <si>
    <t>Proceeds from loans</t>
  </si>
  <si>
    <t>Repayment of loans</t>
  </si>
  <si>
    <t>Net cash from financing activities</t>
  </si>
  <si>
    <t>Increase / (Decrease) in cash equivalents</t>
  </si>
  <si>
    <t>Cash &amp; cash equivalents at beginning of year</t>
  </si>
  <si>
    <t>Cash &amp; cash equivalents at end of year</t>
  </si>
  <si>
    <t>Actual Results - Income Statement</t>
  </si>
  <si>
    <t>Actual Results - Cash Flow Statement</t>
  </si>
  <si>
    <t>Forecast - Balance Sheet</t>
  </si>
  <si>
    <t>Actual Results - Balance Sheet</t>
  </si>
  <si>
    <t>actual balance sheet control total</t>
  </si>
  <si>
    <t>This template enables users to compile a cash flow forecast for a 36 month period and to compare the cash flow forecast to actual results on a monthly and year-to-date basis. The cash flow forecast is compiled by editing the default values in the forecast assumptions and entering monthly turnover, gross profit percentages, expenses, capital expenditure and loan amount forecasts. The actual results are compiled from the actual account balances that are entered. The template includes a monthly income statement, cash flow statement and balance sheet for both the cash flow forecast and actual results. Our unique management report enables users to compare the forecast and actual balances by simply selecting the appropriate month from a list box in a single input cell.</t>
  </si>
  <si>
    <t>The template can be used for both trade based and service based businesses. If you intend to use the template for a service based business, simply enter a monthly gross profit percentage of 100% in all the monthly gross profit percentage input cells on the Forecast and Actual sheets. The cost of sales and gross profit rows on these sheets can also be hidden if you don't want to include them on your reports.</t>
  </si>
  <si>
    <r>
      <t xml:space="preserve">Forecast - </t>
    </r>
    <r>
      <rPr>
        <sz val="10"/>
        <rFont val="Arial"/>
        <family val="2"/>
      </rPr>
      <t>this sheet includes a detailed monthly income statement and cash flow statement for a 36 month period. Monthly turnover, gross profit percentages, expenses, capital expenditure, shareholders' contributions and loan amounts need to be entered by the user. All the other cash flow projection calculations on this sheet are automated.</t>
    </r>
  </si>
  <si>
    <r>
      <t xml:space="preserve">Actual - </t>
    </r>
    <r>
      <rPr>
        <sz val="10"/>
        <rFont val="Arial"/>
        <family val="2"/>
      </rPr>
      <t>this sheet includes a detailed income statement and cash flow statement that can be used to record the actual financial results. Monthly turnover amounts, gross profit percentages, expenses, interest amounts, taxation amounts, capital expenditure and loan amounts need to be entered by the user and the other cash flow line items are calculated from the actual balance sheet balances.</t>
    </r>
  </si>
  <si>
    <r>
      <t xml:space="preserve">BalanceSheets - </t>
    </r>
    <r>
      <rPr>
        <sz val="10"/>
        <rFont val="Arial"/>
        <family val="2"/>
      </rPr>
      <t>this sheet includes the forecast and actual monthly balance sheets. The forecast balance sheet is automatically calculated from the forecast assumptions and the forecast income statement &amp; cash flow statement (no additional user input is required). Most of the actual balance sheet balances need to be entered by the user.</t>
    </r>
  </si>
  <si>
    <r>
      <t xml:space="preserve">Loans - </t>
    </r>
    <r>
      <rPr>
        <sz val="10"/>
        <rFont val="Arial"/>
        <family val="2"/>
      </rPr>
      <t>this sheet includes a detailed amortization table which is used in order to calculate the monthly interest and capital repayment forecasts that are included on the monthly income statement and cash flow statement.</t>
    </r>
  </si>
  <si>
    <r>
      <t xml:space="preserve">Report - </t>
    </r>
    <r>
      <rPr>
        <sz val="10"/>
        <rFont val="Arial"/>
        <family val="2"/>
      </rPr>
      <t>this sheet includes our unique management report which enables users to compare the forecast and actual income statements, cash flow statements and balance sheets on a monthly and year-to-date basis. All the calculations on this sheet are automated and users are only required to select the appropriate monthly period in order to automatically update all the calculations.</t>
    </r>
  </si>
  <si>
    <t>The business name that is specified in cell B4 is included as a heading on all the other sheets.</t>
  </si>
  <si>
    <t>The monthly reporting periods on the income statements, cash flow statements and balance sheets are determined based on the start date that is entered in cell B5 on the Assumptions sheet. Users are therefore able to change the monthly reporting periods in this template by simply changing the date in a single input cell.</t>
  </si>
  <si>
    <t>Note: Actual account balances should be entered on a monthly basis and we therefore do not recommend changing the reporting periods once you start entering actual account balances. If you change the reporting periods, the actual account balances that have been entered will be included under the incorrect monthly date headings. If you want to roll the template forward for another 36 month period, we recommend saving a new version of the template, adjusting the forecast balances and entering the new actual account balances for the new monthly reporting periods (defined by changing the start date in cell B5 on the Assumptions sheet).</t>
  </si>
  <si>
    <t>Monthly turnover projections should be entered on the Forecast sheet in row 5.</t>
  </si>
  <si>
    <t>The monthly gross profit percentage forecasts should be entered on the Forecast sheet in row 10. Monthly gross profit amounts are calculated by multiplying the appropriate monthly turnover amount by the monthly gross profit percentage. The monthly cost of sales amount is calculated by simply deducting the monthly gross profit amounts from the monthly turnover amounts.</t>
  </si>
  <si>
    <t>The Forecast sheet includes 23 default expense accounts. The default expense accounts can be edited by simply entering a new description and additional expense accounts can be added by simply inserting the required number of rows anywhere above the total row, entering a description for the expense, entering the appropriate monthly expense forecasts and copying the formulas in the annual columns from one of the existing rows in the Expenses section. The formula in the Total Expenses row automatically includes all the new rows that are added to this section of the monthly income statement.</t>
  </si>
  <si>
    <t>The inventory days assumption is multiplied by the daily cost of sales average to determine the inventory closing balance at the end of each monthly period. The daily cost of sales average is calculated by simply dividing the monthly cost of sales projection by the number of days in the particular month. The number of days that are included in each monthly reporting period is calculated in row 21 on the balance sheet.</t>
  </si>
  <si>
    <t>The loan terms that are entered in this section of the assumptions are applied to the start-up long term loan amount and the additional loan amounts that are entered in row 53 of the monthly forecast cash flow statement. The loan terms consist of the annual interest rate, loan repayment period in years and an interest only selection. If no interest is charged on long term loans, simply select the "Yes" option from the list box and no loan repayments will be included in the cash flow projections (only the interest that is charged).</t>
  </si>
  <si>
    <t xml:space="preserve">Note: The maximum loan repayment period that can be specified is 10 years. Refer to the Loans sheet for a detailed amortization table which is used to calculate the monthly interest and capital repayment amounts. </t>
  </si>
  <si>
    <t>Forecast Income Statement &amp; Cash Flow Statement</t>
  </si>
  <si>
    <t>A monthly income statement &amp; cash flow statement forecast is included on the Forecast sheet. As we've mentioned before, users are required to enter the monthly turnover amounts, gross profit percentages, expenses, capital expenditure, shareholders' contributions and loan amounts and all other calculations are automated.</t>
  </si>
  <si>
    <t>Note: All the rows that require user input have been highlighted in yellow in column A. The monthly amounts in these rows should be entered but be careful not to replace the formulas in the columns that contain the annual totals.</t>
  </si>
  <si>
    <t>The interest and capital repayment amounts that are included on the income statement &amp; cash flow statement are calculated on the Loans sheet based on the start-up long term loan balance on the Assumptions sheet, the monthly "Proceeds from loans" amounts that are entered on the cash flow statement and the loan terms that are specified on the Assumptions sheet.</t>
  </si>
  <si>
    <t>The condition of all fixed assets deteriorates over time and asset depreciation is therefore usually recorded in the income statement in order to account for the decrease in value of fixed assets. Although depreciation is a non-cash accounting adjustment and therefore does not have a direct effect on cash flow calculations, we have included depreciation in the template assumptions in order to account for the tax effect of wear &amp; tear tax allowances.</t>
  </si>
  <si>
    <t>Note: The depreciation amounts need to be calculated based on the effective depreciation rate for each class of fixed assets after taking the remaining useful life of the start-up assets into account and applying the appropriate effective depreciation rates to all capital expenditure amounts. For the purpose of the cash flow projections, it is assumed that the wear &amp; tear allowances (for income tax purposes) are the same as the depreciation rates.</t>
  </si>
  <si>
    <t>The depreciation amounts for each monthly period therefore needs to be recorded in row 38 on the Forecast sheet. These amounts are included separately on the income statement below the Expenses section and added back from the profit or loss for the period on the cash flow statement.</t>
  </si>
  <si>
    <t>The purchases of property, plant &amp; equipment line relates to the acquisition of fixed assets with a useful life of more than one year. Monthly capital expenditure amounts should be entered as negative values and are added to the property, plant &amp; equipment line on the balance sheet.</t>
  </si>
  <si>
    <t>Actual Income Statement &amp; Cash Flow Statement</t>
  </si>
  <si>
    <t>Actual monthly account balances should be entered in the appropriate rows on the Actual sheet. Users are required to enter the monthly turnover amounts, gross profit percentages, expenses, interest amounts, taxation amounts, capital expenditure and loan amounts. All the other calculations on this sheet are automated.</t>
  </si>
  <si>
    <t>Working capital movements, shareholders' contributions and monthly loan repayments are calculated from the actual monthly balance sheet balances that are entered on the "Actual results" balance sheet.</t>
  </si>
  <si>
    <t>The Expenses section of the income statement on the Actual sheet includes 23 default expense accounts. The default expense accounts can be edited by simply entering a new description and additional expenses can be added by simply inserting the required number of rows anywhere above the total row, entering a description for the expense account, entering the appropriate monthly expense account balances and copying the formulas in the annual columns from one of the existing rows in the Expenses section. The formula in the Total Expenses row automatically includes all the new rows that are added to this section of the monthly income statement.</t>
  </si>
  <si>
    <t>Note: It is imperative that the expense accounts that are included on the Forecast and Actual sheets are exactly the same, otherwise the comparison between forecast and actual expense account balances on the management report will not be accurate. Please ensure that expense items are included in the same rows on the appropriate sheets and that the descriptions of all expense accounts are exactly the same as the descriptions on the Forecast sheet. Any discrepancies that may exist will be highlighted on the management report.</t>
  </si>
  <si>
    <t>The monthly forecast and actual balance sheets are included on the BalanceSheets sheet. All forecast balance sheet balances are calculated automatically from the template assumptions and the calculations on the Forecast sheet. The property, plant &amp; equipment balance is calculated by adding the monthly capital expenditure on the Forecast sheet to the start-up property, plant &amp; equipment balance and deducting the depreciation amounts that are also entered on the Forecast sheet.</t>
  </si>
  <si>
    <t>The shareholders contributions balance is calculated by adding the monthly amounts on the cash flow statement to the start-up balance that is specified in the template assumptions, while retained earnings is calculated from the profit or loss line on the Forecast sheet. The long term loan closing balances are calculated on the Loans sheet.</t>
  </si>
  <si>
    <t>Some of the balance sheet account balances on the "Actual Results" balance sheet require user input while other balance sheet balances are calculated based on calculations on the monthly income statement &amp; cash flow statement on the Actual sheet. The items that require user input have been highlighted in yellow in column A.</t>
  </si>
  <si>
    <t>Note: The Actual balance sheet balances for the first monthly period are linked to the start-up balances that are entered on the Assumptions sheet. This means that the same opening balances are used for both the forecast and actual balance sheet balances. All the balance sheet balances in the first monthly period on the Actual balance sheet have been highlighted in light blue in order to distinguish these cells from the cells that require user input. Users should therefore take care not to replace the formulas in these cells with values.</t>
  </si>
  <si>
    <t>The only calculated balances on the Actual balance sheet are property, plant &amp; equipment, cash and retained earnings. The property, plant &amp; equipment balance is calculated based on the monthly purchases of property, plant &amp; equipment and the depreciation amounts that are entered on the Actual sheet, the cash balance is linked to the closing cash balance on the Actual sheet and the retained earnings balance is linked to the monthly profit or loss line on the Actual sheet.</t>
  </si>
  <si>
    <t>Forecast Interest &amp; Capital Repayment Amounts</t>
  </si>
  <si>
    <t>The Loans sheet includes a detailed amortization table which is used for the calculation of the forecast monthly interest and capital repayment amounts. The start-up long term loan balance and the monthly loan advances (entered in the "Proceeds from loans" row on the Forecast sheet) are included in the additional financing column. All interest and loan repayment calculations are based on the amounts in this column and the loan terms that are included at the top of the sheet are specified in the template assumptions.</t>
  </si>
  <si>
    <t>Note: All the calculations on the Loans sheet are automated and no user input is required on this sheet.</t>
  </si>
  <si>
    <t>The loan amortization calculations can also be compiled for interest only loans by simply selecting the "Yes" option from the Interest Only list box on the Assumptions sheet. If this loan interest option is selected, the cash flow forecast calculations will not include any monthly loan repayments. Also note that the maximum loan period that can be specified is 10 years.</t>
  </si>
  <si>
    <t>Note: Actual monthly interest amounts should be entered on the Actual sheet and actual monthly loan repayments are based on the monthly long term loans balances that are entered on the Actual balance sheet and the actual monthly loan advances that are entered in row 73 on the Actual sheet.</t>
  </si>
  <si>
    <t>The management report on the Report sheet can be used to compare forecast and actual account balances on a monthly and year-to-date basis. All the calculations on the this sheet are automated and the report can be compiled for any monthly period by simply selecting the appropriate month from the list box in cell I1.</t>
  </si>
  <si>
    <t>Note: The only user input that is required aside from selecting the appropriate reporting period is the customization of the expense accounts in the Expenses section of the report. The expense accounts that are included on the Forecast, Actual and Report sheets should be exactly the same, otherwise the calculations on the management report may not be accurate.</t>
  </si>
  <si>
    <t>We've added conditional formatting to the cells in column B of the Expenses section in order to highlight expense account discrepancies in orange. If you therefore notice that one or more of the cells in column B contains an orange cell background and an "ERR" message, it means that there is difference between the expense accounts that are included on the Forecast sheet and the expense accounts that are included on the Actual sheet.</t>
  </si>
  <si>
    <t>Users therefore need to compare the expense accounts in the particular rows on both of these sheets in order to ensure that the same expenses are included in the same rows on both sheets and that the expense account descriptions are exactly the same on both sheets. Note that orange highlighting in the Total row on the management report may indicate that all the expense items on the Forecast or Actual sheet may not have been added to the management report. All of these errors can be corrected by simply entering the correct expense account description or by inserting the correct number of rows on the appropriate sheet.</t>
  </si>
  <si>
    <t>All the calculations on the management report are based on the date that is selected from the list box in cell I1. This list box includes all 36 monthly periods that are included on the monthly income statements, cash flow statements and balance sheets. When the user therefore selects a new period from the list box, all the calculations on the management report are immediately updated.</t>
  </si>
  <si>
    <t>Note: The calculation of the year-to-date balances is based on the assumption that the 36 monthly reporting periods constitute 3 full annual financial periods. We therefore recommend that you enter the first day of the appropriate first financial year that you want to include in the template as the start date in cell B5 on the Assumptions sheet.</t>
  </si>
  <si>
    <t>Note: After changing the default start date in cell B5 on the Assumptions sheet, you may notice that all the calculations on the management report result in nil values. These nil values are the result of cell I1 containing a date (the default date that had previously been selected) which does not form part of the monthly reporting periods (defined by the start date on the Assumptions sheet) and can be updated by simply selecting a new period from the list box in cell I1. Cell I1 will also be highlighted in orange and a message which indicates that a new monthly period needs to be selected will be displayed in cell I2.</t>
  </si>
  <si>
    <t>Note: A control total line has been inserted below the Actual balance sheet. This line will contain an "ok" text string if the balance sheet is in balance and will reflect an "error" text string which will be highlighted in orange if the Actual balance sheet does not balance. If an error message is displayed for any of the monthly periods, you should check that all balance sheet balances have been entered correctly in the user input lines.</t>
  </si>
  <si>
    <t>The inventory, debtors and creditors days assumptions that are specified on the Assumptions sheet are used in order to calculate the monthly closing balances for inventory, receivables and payables on the balance sheet. We believe that this is the easiest and most accurate approach that can be used in order to estimate working capital balances at the end of each monthly period.</t>
  </si>
  <si>
    <t>Excel Skills Australia | Monthly Cash Flow Template | Forecast vs Actual</t>
  </si>
  <si>
    <t>www.excel-skills.com.au</t>
  </si>
  <si>
    <t>If you experience any difficulty while using this template and you are not able to find the appropriate guidance in these instructions, please e-mail us at support@excel-skills.com.au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</si>
  <si>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 www.excel-skills.com.au</t>
  </si>
  <si>
    <t>The income tax percentage that is specified in this input cell is applied to the monthly profit or loss in order to calculate a monthly income tax provision. We have also assumed that all income tax liabilities are settled on a quarterly (every three months) in January, April, July and October in accordance with the PAYG taxation system. The monthly tax amount is therefore accrued to a provision for taxation and the negative cash flow resulting from the quarterly payment of income tax will be reflected in the taxation paid line of the monthly cash flow statement.</t>
  </si>
  <si>
    <t>Monthly turnover forecasts need to be entered on the Forecast worksheet.</t>
  </si>
  <si>
    <t>Monthly gross profit percentages need to be entered on the Forecast worksheet.</t>
  </si>
  <si>
    <t>Monthly expense projections need to be entered on the Forecast worksheet.</t>
  </si>
  <si>
    <t>© Copyright</t>
  </si>
  <si>
    <t>This template remains the intellectual property of www.excel-skills.com.au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</si>
  <si>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Note: It is assumed that income tax is paid on a quarterly basis (payments in July, October, January &amp; April).</t>
  </si>
  <si>
    <t>GST</t>
  </si>
  <si>
    <t>GST Rate</t>
  </si>
  <si>
    <t>Sales Inclusion %</t>
  </si>
  <si>
    <t>Cost of Sales Inclusion %</t>
  </si>
  <si>
    <t>Expenses Inclusion %</t>
  </si>
  <si>
    <t>Capex Inclusion %</t>
  </si>
  <si>
    <t>GST Payable</t>
  </si>
  <si>
    <t>Trade Debtors Days</t>
  </si>
  <si>
    <t>Trade Creditors Days</t>
  </si>
  <si>
    <t>G</t>
  </si>
  <si>
    <t>Monthly Taxation Forecast</t>
  </si>
  <si>
    <t>Monthly GST Forecast</t>
  </si>
  <si>
    <t>Note: All income &amp; expense amounts should be entered exclusive of any sales tax (GST) that may be applicable. The GST payable amounts on the balance sheet are calculated based on the inclusion percentages in cells B36 to B39 on the Assumptions sheet and only the expense accounts that contain a "G" in column A on the income statement are included in these calculations.</t>
  </si>
  <si>
    <t>The GST rate needs to be specified in cell B35 on the Assumptions sheet. The input cells in the cell range from cell B36 to cell B39 have been added to accommodate a GST inclusion rate for sales, cost of sales, expenses and capital expenditure.</t>
  </si>
  <si>
    <t>The sales inclusion percentage should be determined based on the percentage of sales invoices that are subject to GST. If all sales invoices are subject to GST, a value of 100% should therefore be specified in this input cell.</t>
  </si>
  <si>
    <t>The same principle applies to the cost of sales inclusion percentage but the percentage that is specified in this input cell is applied to the monthly cost of sales amounts.</t>
  </si>
  <si>
    <t>The GST calculations in this template also accommodates excluding expense line items which are not subject to GST (for example salaries). Only the line items which contain a "G" in column A on the Forecast sheet will be included in the GST calculations. The expense inclusion percentage which needs to be specified in cell B38 on the Assumptions sheet has been added to accommodate scenarios where not all the transactions which form part of an expense line item are subject to GST. An average inclusion percentage for all the expense line items that are subject to GST should be specified in this input cell.</t>
  </si>
  <si>
    <t>Note: The expense inclusion percentage only applies to expense line items that are subject to GST (the items that include a "G" in column A on the Forecast sheet. Expense line items that are not subject to GST should therefore be excluded when determining the expense inclusion percentage.</t>
  </si>
  <si>
    <t>The capex inclusion percentage is applied to the capital expenditure amounts which are entered in row 68 on the Forecast sheet. Capital expenditure is therefore also included in the GST calculations on the same basis as the other inclusion percentages which are covered above.</t>
  </si>
  <si>
    <t>The monthly GST amounts payable are calculated based on the sales, cost of sales, expenses (only items with a "G" in column A on the Forecast sheet) and capital expenditure. We have also assumed that GST liabilities are settled on a quarterly basis (every three months) in July, October, January and April in accordance with the business activity statement tax system.</t>
  </si>
  <si>
    <t>The monthly GST amounts payable are included in row 18 on the balance sheet. The cash flow movement relating to GST amounts payable have been added to the Payables line on the cash flow statement on the Forecast sheet.</t>
  </si>
  <si>
    <t>Note: If GST is not applicable to the business, you can simply enter a GST rate of nil in cell B35 on the Assumptions sheet. No GST will then be calculated.</t>
  </si>
  <si>
    <t>Note: A "G" needs to be entered next to all the expense line items that are subject to GST in column A on the Forecast sheet. If GST is not applicable, you can simply remove the "G" next to all the default expense accounts.</t>
  </si>
  <si>
    <t>All working capital balances are calculated based on the days that are specified in the template assumptions, while the cash balance is linked to the closing cash balance on the Forecast sheet. The GST payable amounts are calculated as we described earlier on in these instructions (quarterly basis as per business activity statement principles). The provision for taxation is calculated from the income tax line on the Forecast sheet and the assumption is that the entire income tax liability is settled quarterly based on the PAYG tax system.</t>
  </si>
  <si>
    <t>Income - Subscriptions</t>
  </si>
  <si>
    <t>Income - New Members</t>
  </si>
  <si>
    <t>Subscriptions to TMI</t>
  </si>
  <si>
    <t>Supper Reimbursement</t>
  </si>
  <si>
    <t>Room Hire</t>
  </si>
  <si>
    <t>TALK Toastmasters Manurewa</t>
  </si>
  <si>
    <t>Income - New Member</t>
  </si>
  <si>
    <t xml:space="preserve">Small Equipment </t>
  </si>
  <si>
    <t>Net Accumulated Funds</t>
  </si>
  <si>
    <t>Subsctiptions to TMI</t>
  </si>
  <si>
    <t>Small Equipment</t>
  </si>
  <si>
    <t>NZD:USD Sep 22</t>
  </si>
  <si>
    <t>NZD:USD Mar 22</t>
  </si>
  <si>
    <t>Supper Reimb rate for invoices produced</t>
  </si>
  <si>
    <t>Customer ID</t>
  </si>
  <si>
    <t>Name</t>
  </si>
  <si>
    <t>Credentials</t>
  </si>
  <si>
    <t>Company / In Care Of</t>
  </si>
  <si>
    <t>Addr L1</t>
  </si>
  <si>
    <t>Addr L2</t>
  </si>
  <si>
    <t>Addr L3</t>
  </si>
  <si>
    <t>City</t>
  </si>
  <si>
    <t>Country</t>
  </si>
  <si>
    <t>zip-code</t>
  </si>
  <si>
    <t>Member has opted-out of Toastmasters WHQ marketing mail</t>
  </si>
  <si>
    <t>Email</t>
  </si>
  <si>
    <t>Secondary Email</t>
  </si>
  <si>
    <t>Member has opted-out of Toastmasters WHQ marketing emails</t>
  </si>
  <si>
    <t>Home Phone</t>
  </si>
  <si>
    <t>Mobile Ph</t>
  </si>
  <si>
    <t>Additional Phone</t>
  </si>
  <si>
    <t>Member has opted-out of Toastmasters WHQ marketing phone calls</t>
  </si>
  <si>
    <t>Paid Until</t>
  </si>
  <si>
    <t>Self Pay</t>
  </si>
  <si>
    <t>Member of Club Since</t>
  </si>
  <si>
    <t>Original Join Date</t>
  </si>
  <si>
    <t>Status (*)</t>
  </si>
  <si>
    <t>Current Position</t>
  </si>
  <si>
    <t>Future Position</t>
  </si>
  <si>
    <t>Pathways Enrolled</t>
  </si>
  <si>
    <t>PN-67913188</t>
  </si>
  <si>
    <t>Sailakshmi Panat</t>
  </si>
  <si>
    <t>201C Hill Road</t>
  </si>
  <si>
    <t>Manurewa</t>
  </si>
  <si>
    <t>Auckland</t>
  </si>
  <si>
    <t>NZL</t>
  </si>
  <si>
    <t>sailakshmipanat@gmail.com</t>
  </si>
  <si>
    <t>64 0220414640</t>
  </si>
  <si>
    <t>opted-out</t>
  </si>
  <si>
    <t>3/31/2026</t>
  </si>
  <si>
    <t>Disable For Club</t>
  </si>
  <si>
    <t>PaidMember</t>
  </si>
  <si>
    <t>PN-01647014</t>
  </si>
  <si>
    <t>Rachel A. Evans</t>
  </si>
  <si>
    <t>DTM</t>
  </si>
  <si>
    <t>85 Dawson Road</t>
  </si>
  <si>
    <t>Mapua</t>
  </si>
  <si>
    <t>RD1, Upper Moutere</t>
  </si>
  <si>
    <t>rachelevanstm@gmail.com</t>
  </si>
  <si>
    <t>64 277102358</t>
  </si>
  <si>
    <t>9/30/2025</t>
  </si>
  <si>
    <t>Club Secretary</t>
  </si>
  <si>
    <t>Yes</t>
  </si>
  <si>
    <t>PN-00330111</t>
  </si>
  <si>
    <t>Angela Guptill</t>
  </si>
  <si>
    <t>4/2 Scott Rd</t>
  </si>
  <si>
    <t>Papatoetoe</t>
  </si>
  <si>
    <t>angela.guptill@gmail.com</t>
  </si>
  <si>
    <t>PN-00347643</t>
  </si>
  <si>
    <t>Chris Williams</t>
  </si>
  <si>
    <t>PI4</t>
  </si>
  <si>
    <t>406 Redoubt Rd</t>
  </si>
  <si>
    <t>Totara Park, Manukau</t>
  </si>
  <si>
    <t>chriswilliams@pl.net</t>
  </si>
  <si>
    <t>64 274739990</t>
  </si>
  <si>
    <t>PN-06772699</t>
  </si>
  <si>
    <t>Christine Grayson</t>
  </si>
  <si>
    <t>SR2</t>
  </si>
  <si>
    <t>15 Donzella Place</t>
  </si>
  <si>
    <t>Conifer Grove</t>
  </si>
  <si>
    <t>Takanini</t>
  </si>
  <si>
    <t>christinegrayson4@gmail.com</t>
  </si>
  <si>
    <t>64 0274 776000</t>
  </si>
  <si>
    <t>Club VP Membership</t>
  </si>
  <si>
    <t>PN-67700316</t>
  </si>
  <si>
    <t>Marina S. Brookes</t>
  </si>
  <si>
    <t>PM1</t>
  </si>
  <si>
    <t>143 Walter Strevens Drive</t>
  </si>
  <si>
    <t>marina@avproductions.co.nz</t>
  </si>
  <si>
    <t>marinabrookes1@outlook.com</t>
  </si>
  <si>
    <t>64 274763047</t>
  </si>
  <si>
    <t>Club Sergeant at Arms</t>
  </si>
  <si>
    <t>PN-00397032</t>
  </si>
  <si>
    <t>Christopher W. Bird</t>
  </si>
  <si>
    <t>ATMS</t>
  </si>
  <si>
    <t>73B Settlement Road</t>
  </si>
  <si>
    <t>Papakura</t>
  </si>
  <si>
    <t>birdstheword2004@yahoo.com</t>
  </si>
  <si>
    <t>64 9 2977840</t>
  </si>
  <si>
    <t>64 2102907141</t>
  </si>
  <si>
    <t>Club Treasurer</t>
  </si>
  <si>
    <t>PN-07026899</t>
  </si>
  <si>
    <t>Sanesh Francis</t>
  </si>
  <si>
    <t>SR4</t>
  </si>
  <si>
    <t>8 Foxbridge Lane</t>
  </si>
  <si>
    <t>mr.saneshamfrancis@gmail.com</t>
  </si>
  <si>
    <t>64 2108357005</t>
  </si>
  <si>
    <t>Club VP Education</t>
  </si>
  <si>
    <t>PN-67756750</t>
  </si>
  <si>
    <t>Rajeev Prasad</t>
  </si>
  <si>
    <t>11 Stratford Road</t>
  </si>
  <si>
    <t>Manukau</t>
  </si>
  <si>
    <t>rajeevprasadnz@gmail.com</t>
  </si>
  <si>
    <t>Club VP PR</t>
  </si>
  <si>
    <t>PN-00411732</t>
  </si>
  <si>
    <t>Martin A. Francis</t>
  </si>
  <si>
    <t>EC4</t>
  </si>
  <si>
    <t>franfam08@gmail.com</t>
  </si>
  <si>
    <t>64 21127 7510</t>
  </si>
  <si>
    <t>PN-67702518</t>
  </si>
  <si>
    <t>Stephen G. Woodroffe</t>
  </si>
  <si>
    <t>3 Ross Martin Court</t>
  </si>
  <si>
    <t>stephen.woodroffe88@gmail.com</t>
  </si>
  <si>
    <t>64 21996 736</t>
  </si>
  <si>
    <t>Club President</t>
  </si>
  <si>
    <t>PN-67886277</t>
  </si>
  <si>
    <t>Jeremy E. Clark</t>
  </si>
  <si>
    <t>81 Coxhead Road</t>
  </si>
  <si>
    <t>jsv79@yahoo.com</t>
  </si>
  <si>
    <t>64 212411608</t>
  </si>
  <si>
    <t>PN-07982164</t>
  </si>
  <si>
    <t>Arjun Puthussery Vasudev</t>
  </si>
  <si>
    <t>IP2</t>
  </si>
  <si>
    <t>7 Tanekaha Road</t>
  </si>
  <si>
    <t>Flatbush</t>
  </si>
  <si>
    <t>arjunpvasudev@gmail.com</t>
  </si>
  <si>
    <t>64 226794436</t>
  </si>
  <si>
    <t>Room Hire  (18:45 - 21:30)</t>
  </si>
  <si>
    <t>Opening Bank Balance</t>
  </si>
  <si>
    <t>Gross Income</t>
  </si>
  <si>
    <t>Estimated Closing Bank Balance</t>
  </si>
  <si>
    <t>Total</t>
  </si>
  <si>
    <t>Estimated closing bank balance</t>
  </si>
  <si>
    <t>Total income</t>
  </si>
  <si>
    <t>Actual Closing Bank Balance</t>
  </si>
  <si>
    <t>NZ  Semi Annual Rate</t>
  </si>
  <si>
    <t>NZ  New Member Rate</t>
  </si>
  <si>
    <t>US Semi Annual Rate</t>
  </si>
  <si>
    <t>Equipment name:</t>
  </si>
  <si>
    <t>Quantity</t>
  </si>
  <si>
    <t>Usage</t>
  </si>
  <si>
    <t>Where the equipment is stored</t>
  </si>
  <si>
    <t>Iphone 7 and charger</t>
  </si>
  <si>
    <t>X1</t>
  </si>
  <si>
    <t>Camera for stage/speaker</t>
  </si>
  <si>
    <t>With tech team member on duty next meeting</t>
  </si>
  <si>
    <t>Logitech speak (speaker phone)</t>
  </si>
  <si>
    <t>External speaker/microphone</t>
  </si>
  <si>
    <t>Logitech C930e WEBCAM</t>
  </si>
  <si>
    <t>External camera - Room camera</t>
  </si>
  <si>
    <t>Tripod</t>
  </si>
  <si>
    <t>Tripod for Room camera</t>
  </si>
  <si>
    <t>Nathan Homestead</t>
  </si>
  <si>
    <t>USB extension cables</t>
  </si>
  <si>
    <t>X3</t>
  </si>
  <si>
    <t xml:space="preserve">So the IT equipment can be moved further away from the laptop and work provide better visuals and sound.  </t>
  </si>
  <si>
    <t>Velcro cable covers</t>
  </si>
  <si>
    <t>Covers cables to prevent trip hazards</t>
  </si>
  <si>
    <t>Viewsonic PJD5123/DLP Projector</t>
  </si>
  <si>
    <t xml:space="preserve">Not currently in use. </t>
  </si>
  <si>
    <t>This is a working projector, but this only projects a small screen size. Therefore, is to be kept as a back up to the superior Nathan Homestead projectors currently in use.</t>
  </si>
  <si>
    <t>With Owen</t>
  </si>
  <si>
    <t>Lectern</t>
  </si>
  <si>
    <t>TALK toastmasters retractable sign</t>
  </si>
  <si>
    <t>Large TALK Manurewa sign with club information which is put outside the meeting room</t>
  </si>
  <si>
    <t>Fold up plastic table</t>
  </si>
  <si>
    <t>Projector is mounted on this in meetings</t>
  </si>
  <si>
    <t>Fold up wooden table</t>
  </si>
  <si>
    <t>Used as a shelf to store club equipment in the Nathan Homestead storage room</t>
  </si>
  <si>
    <t>Club banner</t>
  </si>
  <si>
    <t>Timer lights</t>
  </si>
  <si>
    <t>Extension cable</t>
  </si>
  <si>
    <t>4 power point adaptor</t>
  </si>
  <si>
    <t>Portable projector screen</t>
  </si>
  <si>
    <t>This is back up if we don’t have a suitable white wall (as per dining room) or already supplied screen in the meeting room (as per theatre room).</t>
  </si>
  <si>
    <t>Tea and Coffee mugs</t>
  </si>
  <si>
    <t>Box containing various coffee mugs</t>
  </si>
  <si>
    <t>Tea and coffee equipment</t>
  </si>
  <si>
    <t>Box containing tea and coffee, sugar, teaspoons etc</t>
  </si>
  <si>
    <t>New Member Subscription</t>
  </si>
  <si>
    <t>Bi Annual Subscription</t>
  </si>
  <si>
    <t>NZD</t>
  </si>
  <si>
    <t>USD</t>
  </si>
  <si>
    <t>Margin per person</t>
  </si>
  <si>
    <t>Margin</t>
  </si>
  <si>
    <t>Margin for 13 members</t>
  </si>
  <si>
    <t>Supper (6 mths)</t>
  </si>
  <si>
    <r>
      <t xml:space="preserve">USD Rate </t>
    </r>
    <r>
      <rPr>
        <sz val="10"/>
        <color rgb="FFFF0000"/>
        <rFont val="Arial"/>
        <family val="2"/>
      </rPr>
      <t xml:space="preserve"> .56</t>
    </r>
  </si>
  <si>
    <r>
      <t xml:space="preserve">USD Rate </t>
    </r>
    <r>
      <rPr>
        <sz val="10"/>
        <color rgb="FFFF0000"/>
        <rFont val="Arial"/>
        <family val="2"/>
      </rPr>
      <t>.59</t>
    </r>
  </si>
  <si>
    <r>
      <t xml:space="preserve">Residual Income </t>
    </r>
    <r>
      <rPr>
        <b/>
        <sz val="10"/>
        <color rgb="FFFF0000"/>
        <rFont val="Arial"/>
        <family val="2"/>
      </rPr>
      <t>(Loss)</t>
    </r>
    <r>
      <rPr>
        <b/>
        <sz val="10"/>
        <rFont val="Arial"/>
        <family val="2"/>
      </rPr>
      <t xml:space="preserve"> for 6 mths</t>
    </r>
  </si>
  <si>
    <r>
      <t>USD Rate</t>
    </r>
    <r>
      <rPr>
        <u/>
        <sz val="10"/>
        <color rgb="FFFF0000"/>
        <rFont val="Arial"/>
        <family val="2"/>
      </rPr>
      <t xml:space="preserve"> .56</t>
    </r>
  </si>
  <si>
    <r>
      <t>USD Rate</t>
    </r>
    <r>
      <rPr>
        <u/>
        <sz val="10"/>
        <color rgb="FFFF0000"/>
        <rFont val="Arial"/>
        <family val="2"/>
      </rPr>
      <t xml:space="preserve"> .59</t>
    </r>
  </si>
  <si>
    <t>Costs to pay per mth  (say 2 mtgs/mth)</t>
  </si>
  <si>
    <t>Mid June</t>
  </si>
  <si>
    <t>End June</t>
  </si>
  <si>
    <t>Mid July</t>
  </si>
  <si>
    <t>End July</t>
  </si>
  <si>
    <t>Room Hire  Dining Rm??[Nov-Mar]</t>
  </si>
  <si>
    <t>Objective @Mar 31</t>
  </si>
  <si>
    <t>&gt;</t>
  </si>
  <si>
    <t>Bank Balance</t>
  </si>
  <si>
    <t>This calculates to subscription/person</t>
  </si>
  <si>
    <t>NZD:USD Sep 22  2025</t>
  </si>
  <si>
    <t>NZD:USD Mar 22  2025</t>
  </si>
  <si>
    <t>Current Subs</t>
  </si>
  <si>
    <t>Increase in subs</t>
  </si>
  <si>
    <t>Current Membership</t>
  </si>
  <si>
    <t>Total Change in subscription</t>
  </si>
  <si>
    <t>Schedule of Closing Bank Balances</t>
  </si>
  <si>
    <t>End March 2023</t>
  </si>
  <si>
    <t>End Sept 2023</t>
  </si>
  <si>
    <t>End March 2024</t>
  </si>
  <si>
    <t>End Sept 2024</t>
  </si>
  <si>
    <t>End March 2025</t>
  </si>
  <si>
    <t>End August 2025</t>
  </si>
  <si>
    <t>Sept 2025</t>
  </si>
  <si>
    <t>End Aug</t>
  </si>
  <si>
    <t>What NZ would have to pay to aquire $1 USD</t>
  </si>
  <si>
    <t>Continuing Member Subscription</t>
  </si>
  <si>
    <t>New members commencing july 2025</t>
  </si>
  <si>
    <t>Matakorama</t>
  </si>
  <si>
    <t>Number of members</t>
  </si>
  <si>
    <t>6 mthly working capital</t>
  </si>
  <si>
    <t>PAID IN ADVANCE, Re CCS</t>
  </si>
  <si>
    <t>Created : 07 November 2025 11:56:55</t>
  </si>
  <si>
    <t>Transaction(s) from 01/07/2025 to 30/09/2025</t>
  </si>
  <si>
    <t>Account</t>
  </si>
  <si>
    <t>Account Name</t>
  </si>
  <si>
    <t>Transaction Date</t>
  </si>
  <si>
    <t>Detail</t>
  </si>
  <si>
    <t>GL Acct</t>
  </si>
  <si>
    <t>Amount</t>
  </si>
  <si>
    <t>Particulars</t>
  </si>
  <si>
    <t>Code</t>
  </si>
  <si>
    <t>Reference</t>
  </si>
  <si>
    <t>Other Party</t>
  </si>
  <si>
    <t>Balance</t>
  </si>
  <si>
    <t>12-3083-0217830-000</t>
  </si>
  <si>
    <t>Business Account</t>
  </si>
  <si>
    <t>Member Fee +1mth sub</t>
  </si>
  <si>
    <t>Sub Receipts</t>
  </si>
  <si>
    <t>VASUDEV,ARJUN</t>
  </si>
  <si>
    <t>ASB Dongle</t>
  </si>
  <si>
    <t>Miscellaneous</t>
  </si>
  <si>
    <t>JUL Fees for</t>
  </si>
  <si>
    <t>FastNet Business</t>
  </si>
  <si>
    <t>TM Subs Reimb Angela</t>
  </si>
  <si>
    <t>Sub Payments</t>
  </si>
  <si>
    <t>Reemb NewM</t>
  </si>
  <si>
    <t>Sai Arjun</t>
  </si>
  <si>
    <t>86 A Guptill</t>
  </si>
  <si>
    <t>July</t>
  </si>
  <si>
    <t>Auckland Cou</t>
  </si>
  <si>
    <t>74 Nathan TTM Hire</t>
  </si>
  <si>
    <t>August</t>
  </si>
  <si>
    <t>87 Nathan TTM Hire</t>
  </si>
  <si>
    <t>MANUREWATMS-</t>
  </si>
  <si>
    <t>HEF 20252026</t>
  </si>
  <si>
    <t>DC</t>
  </si>
  <si>
    <t>CCSDA Services Ltd</t>
  </si>
  <si>
    <t>Woody</t>
  </si>
  <si>
    <t>Woodroffe SG</t>
  </si>
  <si>
    <t>Oct25 Mar26</t>
  </si>
  <si>
    <t>From MR S G WOODROFF</t>
  </si>
  <si>
    <t>Christine</t>
  </si>
  <si>
    <t>C Grayson</t>
  </si>
  <si>
    <t>Subs</t>
  </si>
  <si>
    <t>From MRS C A GRAYSON</t>
  </si>
  <si>
    <t>Jeremy</t>
  </si>
  <si>
    <t>Jeremy Clark</t>
  </si>
  <si>
    <t>CLARK,JEREMY</t>
  </si>
  <si>
    <t>Arjun</t>
  </si>
  <si>
    <t>Chris Bird</t>
  </si>
  <si>
    <t>SemiAnnual</t>
  </si>
  <si>
    <t>Membership</t>
  </si>
  <si>
    <t>From MR CHRISTOPHER</t>
  </si>
  <si>
    <t>Marina</t>
  </si>
  <si>
    <t>Brookes</t>
  </si>
  <si>
    <t>BROOKES GH&amp;MS</t>
  </si>
  <si>
    <t>Rachel</t>
  </si>
  <si>
    <t>Rachel Evans</t>
  </si>
  <si>
    <t>TALK</t>
  </si>
  <si>
    <t>semi annual</t>
  </si>
  <si>
    <t>EVANS, RACHEL</t>
  </si>
  <si>
    <t>Rajeev</t>
  </si>
  <si>
    <t>PRASAD,RAJEEV</t>
  </si>
  <si>
    <t>Martin / Sanesh</t>
  </si>
  <si>
    <t>MartinSanesh</t>
  </si>
  <si>
    <t>Francis</t>
  </si>
  <si>
    <t>Fees renewal</t>
  </si>
  <si>
    <t>Francis A &amp; M A</t>
  </si>
  <si>
    <t>Chris H</t>
  </si>
  <si>
    <t>Williams</t>
  </si>
  <si>
    <t>WILLIAMS C H</t>
  </si>
  <si>
    <t>Angela</t>
  </si>
  <si>
    <t>A Guptill</t>
  </si>
  <si>
    <t>subs</t>
  </si>
  <si>
    <t>GUPTILL ACJ</t>
  </si>
  <si>
    <t>GL Acct2</t>
  </si>
  <si>
    <t>Amount3</t>
  </si>
  <si>
    <t>SubReceipts</t>
  </si>
  <si>
    <t>Criteria</t>
  </si>
  <si>
    <t>Category</t>
  </si>
  <si>
    <t>DSUM</t>
  </si>
  <si>
    <t>Subreceipts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</si>
</sst>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7" formatCode="&quot;$&quot;#,##0.00;\-&quot;$&quot;#,##0.00"/>
    <numFmt numFmtId="44" formatCode="_-&quot;$&quot;* #,##0.00_-;\-&quot;$&quot;* #,##0.00_-;_-&quot;$&quot;* &quot;-&quot;??_-;_-@_-"/>
    <numFmt numFmtId="164" formatCode="_(* #,##0.00_);_(* \(#,##0.00\);_(* &quot;-&quot;??_);_(@_)"/>
    <numFmt numFmtId="165" formatCode="0.0%"/>
    <numFmt numFmtId="166" formatCode="_(* #,##0_);_(* \(#,##0\);_(* &quot;-&quot;??_);_(@_)"/>
    <numFmt numFmtId="167" formatCode="_(* #,##0.0_);_(* \(#,##0.0\);_(* &quot;-&quot;??_);_(@_)"/>
    <numFmt numFmtId="168" formatCode="mmm\-yyyy"/>
    <numFmt numFmtId="169" formatCode="_ * #,##0_ ;_ * \-#,##0_ ;_ * &quot;-&quot;??_ ;_ @_ "/>
    <numFmt numFmtId="170" formatCode="&quot;$&quot;#,##0.00"/>
  </numFmts>
  <fonts count="41" x14ac:knownFonts="1">
    <font>
      <sz val="10"/>
      <name val="Arial"/>
    </font>
    <font>
      <sz val="11"/>
      <color theme="1"/>
      <name val="Calibri"/>
      <family val="2"/>
      <scheme val="minor"/>
    </font>
    <font>
      <sz val="11"/>
      <color theme="1"/>
      <name val="Calibri"/>
      <family val="2"/>
      <scheme val="minor"/>
    </font>
    <font>
      <sz val="10"/>
      <name val="Arial"/>
      <family val="2"/>
    </font>
    <font>
      <u/>
      <sz val="10"/>
      <color indexed="12"/>
      <name val="Arial"/>
      <family val="2"/>
    </font>
    <font>
      <sz val="8"/>
      <name val="Arial"/>
      <family val="2"/>
    </font>
    <font>
      <b/>
      <sz val="12"/>
      <name val="Arial"/>
      <family val="2"/>
    </font>
    <font>
      <b/>
      <sz val="10"/>
      <name val="Arial"/>
      <family val="2"/>
    </font>
    <font>
      <b/>
      <sz val="11"/>
      <name val="Arial"/>
      <family val="2"/>
    </font>
    <font>
      <b/>
      <sz val="14"/>
      <name val="Arial"/>
      <family val="2"/>
    </font>
    <font>
      <i/>
      <sz val="10"/>
      <name val="Arial"/>
      <family val="2"/>
    </font>
    <font>
      <b/>
      <sz val="11"/>
      <color indexed="8"/>
      <name val="Arial"/>
      <family val="2"/>
    </font>
    <font>
      <i/>
      <sz val="11"/>
      <name val="Arial"/>
      <family val="2"/>
    </font>
    <font>
      <sz val="9.5"/>
      <name val="Arial"/>
      <family val="2"/>
    </font>
    <font>
      <b/>
      <sz val="9.5"/>
      <name val="Arial"/>
      <family val="2"/>
    </font>
    <font>
      <i/>
      <sz val="9.5"/>
      <color indexed="8"/>
      <name val="Arial"/>
      <family val="2"/>
    </font>
    <font>
      <i/>
      <sz val="9.5"/>
      <name val="Arial"/>
      <family val="2"/>
    </font>
    <font>
      <sz val="9.5"/>
      <color indexed="8"/>
      <name val="Arial"/>
      <family val="2"/>
    </font>
    <font>
      <sz val="9.5"/>
      <color indexed="12"/>
      <name val="Arial"/>
      <family val="2"/>
    </font>
    <font>
      <b/>
      <i/>
      <sz val="10"/>
      <name val="Arial"/>
      <family val="2"/>
    </font>
    <font>
      <sz val="9.5"/>
      <color indexed="9"/>
      <name val="Arial"/>
      <family val="2"/>
    </font>
    <font>
      <b/>
      <sz val="9.5"/>
      <color indexed="9"/>
      <name val="Arial"/>
      <family val="2"/>
    </font>
    <font>
      <sz val="9.5"/>
      <color indexed="17"/>
      <name val="Arial"/>
      <family val="2"/>
    </font>
    <font>
      <b/>
      <u/>
      <sz val="9.5"/>
      <color indexed="12"/>
      <name val="Arial"/>
      <family val="2"/>
    </font>
    <font>
      <b/>
      <u/>
      <sz val="11"/>
      <color rgb="FF008000"/>
      <name val="Arial"/>
      <family val="2"/>
    </font>
    <font>
      <sz val="9.5"/>
      <color theme="0"/>
      <name val="Arial"/>
      <family val="2"/>
    </font>
    <font>
      <sz val="10"/>
      <color rgb="FFFF0000"/>
      <name val="Arial"/>
      <family val="2"/>
    </font>
    <font>
      <b/>
      <sz val="9.5"/>
      <color theme="0"/>
      <name val="Arial"/>
      <family val="2"/>
    </font>
    <font>
      <i/>
      <sz val="9.5"/>
      <color theme="0"/>
      <name val="Arial"/>
      <family val="2"/>
    </font>
    <font>
      <sz val="9.5"/>
      <color theme="1"/>
      <name val="Arial"/>
      <family val="2"/>
    </font>
    <font>
      <i/>
      <sz val="9.5"/>
      <color theme="1"/>
      <name val="Arial"/>
      <family val="2"/>
    </font>
    <font>
      <sz val="11"/>
      <name val="Calibri"/>
      <family val="2"/>
    </font>
    <font>
      <b/>
      <sz val="12"/>
      <name val="Calibri"/>
      <family val="2"/>
    </font>
    <font>
      <i/>
      <sz val="11"/>
      <name val="Calibri"/>
      <family val="2"/>
    </font>
    <font>
      <sz val="10"/>
      <name val="Arial"/>
      <family val="2"/>
    </font>
    <font>
      <sz val="9"/>
      <color indexed="81"/>
      <name val="Tahoma"/>
      <family val="2"/>
    </font>
    <font>
      <b/>
      <sz val="9"/>
      <color indexed="81"/>
      <name val="Tahoma"/>
      <family val="2"/>
    </font>
    <font>
      <b/>
      <sz val="10"/>
      <color rgb="FFFF0000"/>
      <name val="Arial"/>
      <family val="2"/>
    </font>
    <font>
      <u/>
      <sz val="10"/>
      <name val="Arial"/>
      <family val="2"/>
    </font>
    <font>
      <u/>
      <sz val="10"/>
      <color rgb="FFFF0000"/>
      <name val="Arial"/>
      <family val="2"/>
    </font>
    <font>
      <b/>
      <sz val="14"/>
      <color theme="1"/>
      <name val="Calibri"/>
      <family val="2"/>
      <scheme val="minor"/>
    </font>
  </fonts>
  <fills count="17">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56"/>
        <bgColor indexed="64"/>
      </patternFill>
    </fill>
    <fill>
      <patternFill patternType="solid">
        <fgColor rgb="FFFFFF99"/>
        <bgColor indexed="64"/>
      </patternFill>
    </fill>
    <fill>
      <patternFill patternType="solid">
        <fgColor theme="8" tint="0.39997558519241921"/>
        <bgColor indexed="64"/>
      </patternFill>
    </fill>
    <fill>
      <patternFill patternType="solid">
        <fgColor theme="6" tint="0.59999389629810485"/>
        <bgColor indexed="64"/>
      </patternFill>
    </fill>
    <fill>
      <patternFill patternType="solid">
        <fgColor rgb="FFFFFF00"/>
        <bgColor indexed="64"/>
      </patternFill>
    </fill>
    <fill>
      <patternFill patternType="solid">
        <fgColor theme="2"/>
        <bgColor indexed="64"/>
      </patternFill>
    </fill>
    <fill>
      <patternFill patternType="solid">
        <fgColor rgb="FF92D05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3" tint="0.39997558519241921"/>
        <bgColor indexed="64"/>
      </patternFill>
    </fill>
    <fill>
      <patternFill patternType="solid">
        <fgColor theme="3" tint="0.79998168889431442"/>
        <bgColor indexed="64"/>
      </patternFill>
    </fill>
  </fills>
  <borders count="29">
    <border>
      <left/>
      <right/>
      <top/>
      <bottom/>
      <diagonal/>
    </border>
    <border>
      <left style="thin">
        <color indexed="22"/>
      </left>
      <right style="thin">
        <color indexed="22"/>
      </right>
      <top style="thin">
        <color indexed="22"/>
      </top>
      <bottom style="thin">
        <color indexed="22"/>
      </bottom>
      <diagonal/>
    </border>
    <border>
      <left style="hair">
        <color indexed="64"/>
      </left>
      <right style="hair">
        <color indexed="64"/>
      </right>
      <top/>
      <bottom/>
      <diagonal/>
    </border>
    <border>
      <left style="hair">
        <color indexed="8"/>
      </left>
      <right style="hair">
        <color indexed="8"/>
      </right>
      <top style="thin">
        <color indexed="22"/>
      </top>
      <bottom style="thin">
        <color indexed="22"/>
      </bottom>
      <diagonal/>
    </border>
    <border>
      <left/>
      <right style="hair">
        <color indexed="64"/>
      </right>
      <top/>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double">
        <color indexed="64"/>
      </bottom>
      <diagonal/>
    </border>
    <border>
      <left/>
      <right style="thin">
        <color indexed="64"/>
      </right>
      <top style="thin">
        <color indexed="64"/>
      </top>
      <bottom style="thin">
        <color indexed="64"/>
      </bottom>
      <diagonal/>
    </border>
    <border>
      <left/>
      <right/>
      <top style="hair">
        <color indexed="64"/>
      </top>
      <bottom/>
      <diagonal/>
    </border>
    <border>
      <left style="hair">
        <color indexed="8"/>
      </left>
      <right style="hair">
        <color indexed="8"/>
      </right>
      <top style="thin">
        <color indexed="22"/>
      </top>
      <bottom style="thin">
        <color indexed="8"/>
      </bottom>
      <diagonal/>
    </border>
    <border>
      <left style="hair">
        <color indexed="64"/>
      </left>
      <right style="hair">
        <color indexed="64"/>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s>
  <cellStyleXfs count="6">
    <xf numFmtId="0" fontId="0" fillId="0" borderId="0"/>
    <xf numFmtId="164" fontId="3" fillId="0" borderId="0" applyFont="0" applyFill="0" applyBorder="0" applyAlignment="0" applyProtection="0"/>
    <xf numFmtId="0" fontId="4" fillId="0" borderId="0" applyNumberFormat="0" applyFill="0" applyBorder="0" applyAlignment="0" applyProtection="0">
      <alignment vertical="top"/>
      <protection locked="0"/>
    </xf>
    <xf numFmtId="9" fontId="3" fillId="0" borderId="0" applyFont="0" applyFill="0" applyBorder="0" applyAlignment="0" applyProtection="0"/>
    <xf numFmtId="44" fontId="34" fillId="0" borderId="0" applyFont="0" applyFill="0" applyBorder="0" applyAlignment="0" applyProtection="0"/>
    <xf numFmtId="0" fontId="2" fillId="0" borderId="0"/>
  </cellStyleXfs>
  <cellXfs count="196">
    <xf numFmtId="0" fontId="0" fillId="0" borderId="0" xfId="0"/>
    <xf numFmtId="0" fontId="9" fillId="0" borderId="0" xfId="0" applyFont="1" applyAlignment="1" applyProtection="1">
      <alignment horizontal="justify" wrapText="1"/>
      <protection hidden="1"/>
    </xf>
    <xf numFmtId="0" fontId="0" fillId="0" borderId="0" xfId="0" applyAlignment="1" applyProtection="1">
      <alignment horizontal="justify" wrapText="1"/>
      <protection hidden="1"/>
    </xf>
    <xf numFmtId="0" fontId="7" fillId="0" borderId="0" xfId="0" applyFont="1" applyAlignment="1" applyProtection="1">
      <alignment horizontal="justify" wrapText="1"/>
      <protection hidden="1"/>
    </xf>
    <xf numFmtId="0" fontId="10" fillId="0" borderId="0" xfId="0" applyFont="1" applyAlignment="1" applyProtection="1">
      <alignment horizontal="justify" wrapText="1"/>
      <protection hidden="1"/>
    </xf>
    <xf numFmtId="0" fontId="6" fillId="0" borderId="0" xfId="0" applyFont="1" applyProtection="1">
      <protection hidden="1"/>
    </xf>
    <xf numFmtId="0" fontId="0" fillId="0" borderId="0" xfId="0" applyProtection="1">
      <protection hidden="1"/>
    </xf>
    <xf numFmtId="0" fontId="12" fillId="0" borderId="0" xfId="0" applyFont="1" applyAlignment="1" applyProtection="1">
      <alignment horizontal="justify" wrapText="1"/>
      <protection hidden="1"/>
    </xf>
    <xf numFmtId="0" fontId="16" fillId="0" borderId="0" xfId="0" applyFont="1" applyProtection="1">
      <protection hidden="1"/>
    </xf>
    <xf numFmtId="0" fontId="13" fillId="0" borderId="0" xfId="0" applyFont="1" applyProtection="1">
      <protection hidden="1"/>
    </xf>
    <xf numFmtId="166" fontId="13" fillId="0" borderId="2" xfId="1" applyNumberFormat="1" applyFont="1" applyBorder="1" applyProtection="1">
      <protection hidden="1"/>
    </xf>
    <xf numFmtId="0" fontId="17" fillId="0" borderId="0" xfId="0" applyFont="1" applyProtection="1">
      <protection hidden="1"/>
    </xf>
    <xf numFmtId="166" fontId="17" fillId="0" borderId="2" xfId="1" applyNumberFormat="1" applyFont="1" applyBorder="1" applyProtection="1">
      <protection hidden="1"/>
    </xf>
    <xf numFmtId="0" fontId="13" fillId="0" borderId="2" xfId="0" applyFont="1" applyBorder="1" applyProtection="1">
      <protection hidden="1"/>
    </xf>
    <xf numFmtId="166" fontId="16" fillId="0" borderId="0" xfId="1" applyNumberFormat="1" applyFont="1" applyProtection="1">
      <protection hidden="1"/>
    </xf>
    <xf numFmtId="0" fontId="13" fillId="2" borderId="1" xfId="0" applyFont="1" applyFill="1" applyBorder="1" applyProtection="1">
      <protection hidden="1"/>
    </xf>
    <xf numFmtId="166" fontId="13" fillId="3" borderId="3" xfId="1" applyNumberFormat="1" applyFont="1" applyFill="1" applyBorder="1" applyProtection="1">
      <protection hidden="1"/>
    </xf>
    <xf numFmtId="0" fontId="18" fillId="0" borderId="0" xfId="0" applyFont="1" applyProtection="1">
      <protection hidden="1"/>
    </xf>
    <xf numFmtId="166" fontId="14" fillId="0" borderId="0" xfId="1" applyNumberFormat="1" applyFont="1" applyProtection="1">
      <protection hidden="1"/>
    </xf>
    <xf numFmtId="165" fontId="15" fillId="0" borderId="0" xfId="3" applyNumberFormat="1" applyFont="1" applyBorder="1" applyProtection="1">
      <protection hidden="1"/>
    </xf>
    <xf numFmtId="166" fontId="13" fillId="0" borderId="4" xfId="1" applyNumberFormat="1" applyFont="1" applyBorder="1" applyProtection="1">
      <protection hidden="1"/>
    </xf>
    <xf numFmtId="166" fontId="13" fillId="0" borderId="5" xfId="1" applyNumberFormat="1" applyFont="1" applyBorder="1" applyProtection="1">
      <protection hidden="1"/>
    </xf>
    <xf numFmtId="0" fontId="13" fillId="0" borderId="0" xfId="1" applyNumberFormat="1" applyFont="1" applyProtection="1">
      <protection hidden="1"/>
    </xf>
    <xf numFmtId="166" fontId="13" fillId="0" borderId="0" xfId="1" applyNumberFormat="1" applyFont="1" applyProtection="1">
      <protection hidden="1"/>
    </xf>
    <xf numFmtId="168" fontId="6" fillId="0" borderId="0" xfId="0" applyNumberFormat="1" applyFont="1" applyAlignment="1">
      <alignment horizontal="left"/>
    </xf>
    <xf numFmtId="0" fontId="8" fillId="0" borderId="0" xfId="0" applyFont="1" applyAlignment="1" applyProtection="1">
      <alignment horizontal="justify" wrapText="1"/>
      <protection hidden="1"/>
    </xf>
    <xf numFmtId="0" fontId="19" fillId="0" borderId="0" xfId="0" applyFont="1" applyAlignment="1" applyProtection="1">
      <alignment horizontal="justify" wrapText="1"/>
      <protection hidden="1"/>
    </xf>
    <xf numFmtId="0" fontId="11" fillId="0" borderId="0" xfId="0" applyFont="1" applyAlignment="1" applyProtection="1">
      <alignment horizontal="justify" wrapText="1"/>
      <protection hidden="1"/>
    </xf>
    <xf numFmtId="166" fontId="15" fillId="2" borderId="1" xfId="1" applyNumberFormat="1" applyFont="1" applyFill="1" applyBorder="1" applyProtection="1">
      <protection hidden="1"/>
    </xf>
    <xf numFmtId="165" fontId="15" fillId="0" borderId="2" xfId="3" applyNumberFormat="1" applyFont="1" applyFill="1" applyBorder="1" applyProtection="1">
      <protection hidden="1"/>
    </xf>
    <xf numFmtId="165" fontId="15" fillId="0" borderId="2" xfId="3" applyNumberFormat="1" applyFont="1" applyBorder="1" applyProtection="1">
      <protection hidden="1"/>
    </xf>
    <xf numFmtId="166" fontId="14" fillId="2" borderId="1" xfId="1" applyNumberFormat="1" applyFont="1" applyFill="1" applyBorder="1" applyProtection="1">
      <protection hidden="1"/>
    </xf>
    <xf numFmtId="166" fontId="13" fillId="0" borderId="0" xfId="1" applyNumberFormat="1" applyFont="1" applyFill="1" applyBorder="1" applyProtection="1">
      <protection hidden="1"/>
    </xf>
    <xf numFmtId="164" fontId="13" fillId="0" borderId="0" xfId="1" applyFont="1" applyProtection="1">
      <protection hidden="1"/>
    </xf>
    <xf numFmtId="165" fontId="13" fillId="0" borderId="0" xfId="1" applyNumberFormat="1" applyFont="1" applyFill="1" applyBorder="1" applyAlignment="1" applyProtection="1">
      <alignment horizontal="center"/>
      <protection hidden="1"/>
    </xf>
    <xf numFmtId="166" fontId="13" fillId="2" borderId="6" xfId="1" applyNumberFormat="1" applyFont="1" applyFill="1" applyBorder="1" applyProtection="1">
      <protection hidden="1"/>
    </xf>
    <xf numFmtId="165" fontId="13" fillId="2" borderId="6" xfId="3" applyNumberFormat="1" applyFont="1" applyFill="1" applyBorder="1" applyProtection="1">
      <protection hidden="1"/>
    </xf>
    <xf numFmtId="0" fontId="14" fillId="0" borderId="0" xfId="0" applyFont="1" applyProtection="1">
      <protection hidden="1"/>
    </xf>
    <xf numFmtId="0" fontId="20" fillId="0" borderId="0" xfId="0" applyFont="1" applyProtection="1">
      <protection hidden="1"/>
    </xf>
    <xf numFmtId="164" fontId="14" fillId="0" borderId="0" xfId="1" applyFont="1" applyAlignment="1" applyProtection="1">
      <alignment horizontal="center"/>
      <protection hidden="1"/>
    </xf>
    <xf numFmtId="164" fontId="14" fillId="0" borderId="0" xfId="1" applyFont="1" applyProtection="1">
      <protection hidden="1"/>
    </xf>
    <xf numFmtId="167" fontId="13" fillId="2" borderId="6" xfId="1" applyNumberFormat="1" applyFont="1" applyFill="1" applyBorder="1" applyProtection="1">
      <protection hidden="1"/>
    </xf>
    <xf numFmtId="166" fontId="13" fillId="2" borderId="6" xfId="1" applyNumberFormat="1" applyFont="1" applyFill="1" applyBorder="1" applyAlignment="1" applyProtection="1">
      <alignment horizontal="right"/>
      <protection hidden="1"/>
    </xf>
    <xf numFmtId="14" fontId="13" fillId="2" borderId="7" xfId="1" applyNumberFormat="1" applyFont="1" applyFill="1" applyBorder="1" applyAlignment="1" applyProtection="1">
      <alignment horizontal="center"/>
      <protection hidden="1"/>
    </xf>
    <xf numFmtId="168" fontId="13" fillId="0" borderId="0" xfId="0" applyNumberFormat="1" applyFont="1" applyAlignment="1" applyProtection="1">
      <alignment vertical="center" wrapText="1"/>
      <protection hidden="1"/>
    </xf>
    <xf numFmtId="168" fontId="13" fillId="3" borderId="6" xfId="0" applyNumberFormat="1" applyFont="1" applyFill="1" applyBorder="1" applyAlignment="1" applyProtection="1">
      <alignment vertical="center" wrapText="1"/>
      <protection hidden="1"/>
    </xf>
    <xf numFmtId="168" fontId="14" fillId="3" borderId="6" xfId="1" applyNumberFormat="1" applyFont="1" applyFill="1" applyBorder="1" applyAlignment="1" applyProtection="1">
      <alignment horizontal="center" vertical="center" wrapText="1"/>
      <protection hidden="1"/>
    </xf>
    <xf numFmtId="168" fontId="21" fillId="4" borderId="6" xfId="1" applyNumberFormat="1" applyFont="1" applyFill="1" applyBorder="1" applyAlignment="1" applyProtection="1">
      <alignment horizontal="center" vertical="center" wrapText="1"/>
      <protection hidden="1"/>
    </xf>
    <xf numFmtId="0" fontId="14" fillId="0" borderId="0" xfId="1" applyNumberFormat="1" applyFont="1" applyProtection="1">
      <protection hidden="1"/>
    </xf>
    <xf numFmtId="166" fontId="14" fillId="0" borderId="8" xfId="1" applyNumberFormat="1" applyFont="1" applyFill="1" applyBorder="1" applyProtection="1">
      <protection hidden="1"/>
    </xf>
    <xf numFmtId="166" fontId="14" fillId="0" borderId="8" xfId="1" applyNumberFormat="1" applyFont="1" applyBorder="1" applyProtection="1">
      <protection hidden="1"/>
    </xf>
    <xf numFmtId="166" fontId="14" fillId="0" borderId="2" xfId="1" applyNumberFormat="1" applyFont="1" applyBorder="1" applyProtection="1">
      <protection hidden="1"/>
    </xf>
    <xf numFmtId="166" fontId="14" fillId="0" borderId="9" xfId="1" applyNumberFormat="1" applyFont="1" applyBorder="1" applyProtection="1">
      <protection hidden="1"/>
    </xf>
    <xf numFmtId="166" fontId="14" fillId="0" borderId="10" xfId="1" applyNumberFormat="1" applyFont="1" applyBorder="1" applyProtection="1">
      <protection hidden="1"/>
    </xf>
    <xf numFmtId="166" fontId="14" fillId="0" borderId="5" xfId="1" applyNumberFormat="1" applyFont="1" applyBorder="1" applyProtection="1">
      <protection hidden="1"/>
    </xf>
    <xf numFmtId="166" fontId="14" fillId="0" borderId="0" xfId="1" applyNumberFormat="1" applyFont="1" applyBorder="1" applyProtection="1">
      <protection hidden="1"/>
    </xf>
    <xf numFmtId="0" fontId="16" fillId="0" borderId="0" xfId="1" applyNumberFormat="1" applyFont="1" applyProtection="1">
      <protection hidden="1"/>
    </xf>
    <xf numFmtId="0" fontId="22" fillId="0" borderId="0" xfId="0" applyFont="1" applyProtection="1">
      <protection hidden="1"/>
    </xf>
    <xf numFmtId="166" fontId="22" fillId="0" borderId="0" xfId="1" applyNumberFormat="1" applyFont="1" applyAlignment="1" applyProtection="1">
      <alignment horizontal="center"/>
      <protection hidden="1"/>
    </xf>
    <xf numFmtId="168" fontId="14" fillId="0" borderId="0" xfId="0" applyNumberFormat="1" applyFont="1" applyAlignment="1">
      <alignment horizontal="left"/>
    </xf>
    <xf numFmtId="0" fontId="13" fillId="0" borderId="0" xfId="0" applyFont="1"/>
    <xf numFmtId="168" fontId="13" fillId="0" borderId="0" xfId="0" applyNumberFormat="1" applyFont="1" applyAlignment="1">
      <alignment horizontal="left"/>
    </xf>
    <xf numFmtId="0" fontId="14" fillId="0" borderId="0" xfId="0" applyFont="1" applyAlignment="1">
      <alignment horizontal="center"/>
    </xf>
    <xf numFmtId="166" fontId="14" fillId="0" borderId="12" xfId="1" applyNumberFormat="1" applyFont="1" applyBorder="1" applyProtection="1">
      <protection hidden="1"/>
    </xf>
    <xf numFmtId="166" fontId="16" fillId="0" borderId="9" xfId="1" applyNumberFormat="1" applyFont="1" applyBorder="1" applyProtection="1">
      <protection hidden="1"/>
    </xf>
    <xf numFmtId="166" fontId="16" fillId="0" borderId="8" xfId="1" applyNumberFormat="1" applyFont="1" applyBorder="1" applyProtection="1">
      <protection hidden="1"/>
    </xf>
    <xf numFmtId="0" fontId="23" fillId="0" borderId="0" xfId="2" applyFont="1" applyAlignment="1" applyProtection="1">
      <alignment horizontal="right"/>
      <protection hidden="1"/>
    </xf>
    <xf numFmtId="0" fontId="14" fillId="3" borderId="6" xfId="0" applyFont="1" applyFill="1" applyBorder="1" applyAlignment="1" applyProtection="1">
      <alignment vertical="center" wrapText="1"/>
      <protection hidden="1"/>
    </xf>
    <xf numFmtId="0" fontId="13" fillId="0" borderId="0" xfId="0" applyFont="1" applyAlignment="1" applyProtection="1">
      <alignment vertical="center" wrapText="1"/>
      <protection hidden="1"/>
    </xf>
    <xf numFmtId="0" fontId="14" fillId="0" borderId="8" xfId="0" applyFont="1" applyBorder="1" applyProtection="1">
      <protection hidden="1"/>
    </xf>
    <xf numFmtId="166" fontId="18" fillId="0" borderId="0" xfId="1" applyNumberFormat="1" applyFont="1" applyProtection="1">
      <protection hidden="1"/>
    </xf>
    <xf numFmtId="166" fontId="13" fillId="0" borderId="3" xfId="1" applyNumberFormat="1" applyFont="1" applyBorder="1" applyProtection="1">
      <protection hidden="1"/>
    </xf>
    <xf numFmtId="166" fontId="13" fillId="3" borderId="13" xfId="1" applyNumberFormat="1" applyFont="1" applyFill="1" applyBorder="1" applyProtection="1">
      <protection hidden="1"/>
    </xf>
    <xf numFmtId="166" fontId="14" fillId="0" borderId="14" xfId="1" applyNumberFormat="1" applyFont="1" applyBorder="1" applyProtection="1">
      <protection hidden="1"/>
    </xf>
    <xf numFmtId="166" fontId="13" fillId="0" borderId="0" xfId="1" applyNumberFormat="1" applyFont="1" applyFill="1" applyProtection="1">
      <protection hidden="1"/>
    </xf>
    <xf numFmtId="166" fontId="13" fillId="0" borderId="2" xfId="0" applyNumberFormat="1" applyFont="1" applyBorder="1" applyProtection="1">
      <protection hidden="1"/>
    </xf>
    <xf numFmtId="166" fontId="16" fillId="0" borderId="0" xfId="1" applyNumberFormat="1" applyFont="1" applyFill="1" applyProtection="1">
      <protection hidden="1"/>
    </xf>
    <xf numFmtId="166" fontId="13" fillId="0" borderId="0" xfId="0" applyNumberFormat="1" applyFont="1" applyProtection="1">
      <protection hidden="1"/>
    </xf>
    <xf numFmtId="0" fontId="24" fillId="0" borderId="0" xfId="2" applyFont="1" applyAlignment="1" applyProtection="1">
      <alignment horizontal="right" wrapText="1"/>
      <protection hidden="1"/>
    </xf>
    <xf numFmtId="0" fontId="3" fillId="0" borderId="0" xfId="0" applyFont="1" applyAlignment="1" applyProtection="1">
      <alignment horizontal="justify" wrapText="1"/>
      <protection hidden="1"/>
    </xf>
    <xf numFmtId="0" fontId="8" fillId="0" borderId="0" xfId="0" applyFont="1" applyAlignment="1">
      <alignment horizontal="justify" wrapText="1"/>
    </xf>
    <xf numFmtId="0" fontId="3" fillId="0" borderId="0" xfId="0" applyFont="1" applyAlignment="1">
      <alignment horizontal="justify" wrapText="1"/>
    </xf>
    <xf numFmtId="169" fontId="13" fillId="0" borderId="2" xfId="1" applyNumberFormat="1" applyFont="1" applyBorder="1" applyProtection="1">
      <protection hidden="1"/>
    </xf>
    <xf numFmtId="0" fontId="3" fillId="0" borderId="0" xfId="0" applyFont="1" applyAlignment="1" applyProtection="1">
      <alignment horizontal="justify"/>
      <protection hidden="1"/>
    </xf>
    <xf numFmtId="166" fontId="14" fillId="2" borderId="0" xfId="1" applyNumberFormat="1" applyFont="1" applyFill="1" applyBorder="1" applyProtection="1">
      <protection hidden="1"/>
    </xf>
    <xf numFmtId="0" fontId="25" fillId="0" borderId="0" xfId="1" applyNumberFormat="1" applyFont="1" applyProtection="1">
      <protection hidden="1"/>
    </xf>
    <xf numFmtId="14" fontId="0" fillId="0" borderId="0" xfId="0" applyNumberFormat="1"/>
    <xf numFmtId="1" fontId="0" fillId="0" borderId="0" xfId="0" applyNumberFormat="1"/>
    <xf numFmtId="0" fontId="7" fillId="0" borderId="0" xfId="0" applyFont="1"/>
    <xf numFmtId="0" fontId="3" fillId="0" borderId="0" xfId="0" applyFont="1"/>
    <xf numFmtId="166" fontId="27" fillId="0" borderId="0" xfId="1" applyNumberFormat="1" applyFont="1" applyProtection="1">
      <protection hidden="1"/>
    </xf>
    <xf numFmtId="0" fontId="27" fillId="0" borderId="0" xfId="1" applyNumberFormat="1" applyFont="1" applyProtection="1">
      <protection hidden="1"/>
    </xf>
    <xf numFmtId="166" fontId="27" fillId="0" borderId="2" xfId="1" applyNumberFormat="1" applyFont="1" applyBorder="1" applyProtection="1">
      <protection hidden="1"/>
    </xf>
    <xf numFmtId="166" fontId="28" fillId="2" borderId="1" xfId="1" applyNumberFormat="1" applyFont="1" applyFill="1" applyBorder="1" applyProtection="1">
      <protection hidden="1"/>
    </xf>
    <xf numFmtId="165" fontId="28" fillId="0" borderId="0" xfId="3" applyNumberFormat="1" applyFont="1" applyBorder="1" applyProtection="1">
      <protection hidden="1"/>
    </xf>
    <xf numFmtId="165" fontId="28" fillId="0" borderId="2" xfId="3" applyNumberFormat="1" applyFont="1" applyFill="1" applyBorder="1" applyProtection="1">
      <protection hidden="1"/>
    </xf>
    <xf numFmtId="165" fontId="28" fillId="0" borderId="2" xfId="3" applyNumberFormat="1" applyFont="1" applyBorder="1" applyProtection="1">
      <protection hidden="1"/>
    </xf>
    <xf numFmtId="0" fontId="29" fillId="0" borderId="0" xfId="0" applyFont="1" applyProtection="1">
      <protection hidden="1"/>
    </xf>
    <xf numFmtId="165" fontId="30" fillId="0" borderId="0" xfId="3" applyNumberFormat="1" applyFont="1" applyBorder="1" applyProtection="1">
      <protection hidden="1"/>
    </xf>
    <xf numFmtId="4" fontId="13" fillId="0" borderId="2" xfId="1" applyNumberFormat="1" applyFont="1" applyBorder="1" applyProtection="1">
      <protection hidden="1"/>
    </xf>
    <xf numFmtId="166" fontId="0" fillId="0" borderId="0" xfId="0" applyNumberFormat="1"/>
    <xf numFmtId="0" fontId="0" fillId="6" borderId="0" xfId="0" applyFill="1"/>
    <xf numFmtId="0" fontId="0" fillId="0" borderId="0" xfId="0" applyAlignment="1">
      <alignment horizontal="center"/>
    </xf>
    <xf numFmtId="4" fontId="0" fillId="0" borderId="0" xfId="0" applyNumberFormat="1"/>
    <xf numFmtId="0" fontId="0" fillId="0" borderId="16" xfId="0" applyBorder="1"/>
    <xf numFmtId="17" fontId="0" fillId="0" borderId="0" xfId="0" applyNumberFormat="1"/>
    <xf numFmtId="0" fontId="0" fillId="0" borderId="0" xfId="0" applyAlignment="1">
      <alignment horizontal="left"/>
    </xf>
    <xf numFmtId="0" fontId="3" fillId="0" borderId="0" xfId="0" applyFont="1" applyAlignment="1">
      <alignment horizontal="left"/>
    </xf>
    <xf numFmtId="170" fontId="0" fillId="0" borderId="0" xfId="0" applyNumberFormat="1"/>
    <xf numFmtId="0" fontId="0" fillId="0" borderId="17" xfId="0" applyBorder="1"/>
    <xf numFmtId="0" fontId="0" fillId="0" borderId="18" xfId="0" applyBorder="1"/>
    <xf numFmtId="0" fontId="0" fillId="0" borderId="19" xfId="0" applyBorder="1"/>
    <xf numFmtId="0" fontId="0" fillId="0" borderId="20" xfId="0" applyBorder="1"/>
    <xf numFmtId="0" fontId="0" fillId="0" borderId="21" xfId="0" applyBorder="1"/>
    <xf numFmtId="0" fontId="0" fillId="0" borderId="22" xfId="0" applyBorder="1"/>
    <xf numFmtId="0" fontId="32" fillId="0" borderId="25" xfId="0" applyFont="1" applyBorder="1" applyAlignment="1">
      <alignment vertical="center" wrapText="1"/>
    </xf>
    <xf numFmtId="0" fontId="32" fillId="0" borderId="26" xfId="0" applyFont="1" applyBorder="1" applyAlignment="1">
      <alignment vertical="center" wrapText="1"/>
    </xf>
    <xf numFmtId="0" fontId="31" fillId="0" borderId="27" xfId="0" applyFont="1" applyBorder="1" applyAlignment="1">
      <alignment vertical="center" wrapText="1"/>
    </xf>
    <xf numFmtId="0" fontId="31" fillId="0" borderId="24" xfId="0" applyFont="1" applyBorder="1" applyAlignment="1">
      <alignment vertical="center" wrapText="1"/>
    </xf>
    <xf numFmtId="0" fontId="33" fillId="0" borderId="21" xfId="0" applyFont="1" applyBorder="1" applyAlignment="1">
      <alignment vertical="center" wrapText="1"/>
    </xf>
    <xf numFmtId="17" fontId="7" fillId="7" borderId="0" xfId="0" applyNumberFormat="1" applyFont="1" applyFill="1"/>
    <xf numFmtId="0" fontId="7" fillId="0" borderId="18" xfId="0" applyFont="1" applyBorder="1"/>
    <xf numFmtId="0" fontId="3" fillId="0" borderId="18" xfId="0" applyFont="1" applyBorder="1"/>
    <xf numFmtId="0" fontId="3" fillId="0" borderId="19" xfId="0" applyFont="1" applyBorder="1"/>
    <xf numFmtId="0" fontId="7" fillId="0" borderId="20" xfId="0" applyFont="1" applyBorder="1"/>
    <xf numFmtId="0" fontId="3" fillId="0" borderId="21" xfId="0" applyFont="1" applyBorder="1"/>
    <xf numFmtId="0" fontId="3" fillId="0" borderId="20" xfId="0" applyFont="1" applyBorder="1"/>
    <xf numFmtId="2" fontId="0" fillId="0" borderId="0" xfId="0" applyNumberFormat="1"/>
    <xf numFmtId="2" fontId="0" fillId="0" borderId="21" xfId="0" applyNumberFormat="1" applyBorder="1"/>
    <xf numFmtId="166" fontId="0" fillId="0" borderId="21" xfId="0" applyNumberFormat="1" applyBorder="1"/>
    <xf numFmtId="170" fontId="7" fillId="0" borderId="21" xfId="0" applyNumberFormat="1" applyFont="1" applyBorder="1"/>
    <xf numFmtId="0" fontId="0" fillId="0" borderId="23" xfId="0" applyBorder="1"/>
    <xf numFmtId="0" fontId="0" fillId="0" borderId="24" xfId="0" applyBorder="1"/>
    <xf numFmtId="44" fontId="37" fillId="0" borderId="0" xfId="4" applyFont="1" applyBorder="1"/>
    <xf numFmtId="44" fontId="26" fillId="0" borderId="0" xfId="4" applyFont="1" applyBorder="1"/>
    <xf numFmtId="0" fontId="38" fillId="0" borderId="0" xfId="0" applyFont="1" applyAlignment="1">
      <alignment horizontal="center"/>
    </xf>
    <xf numFmtId="4" fontId="0" fillId="8" borderId="0" xfId="0" applyNumberFormat="1" applyFill="1"/>
    <xf numFmtId="0" fontId="0" fillId="8" borderId="0" xfId="0" applyFill="1"/>
    <xf numFmtId="17" fontId="7" fillId="8" borderId="0" xfId="0" applyNumberFormat="1" applyFont="1" applyFill="1"/>
    <xf numFmtId="0" fontId="7" fillId="8" borderId="0" xfId="0" applyFont="1" applyFill="1"/>
    <xf numFmtId="166" fontId="0" fillId="8" borderId="0" xfId="0" applyNumberFormat="1" applyFill="1"/>
    <xf numFmtId="4" fontId="0" fillId="8" borderId="16" xfId="0" applyNumberFormat="1" applyFill="1" applyBorder="1"/>
    <xf numFmtId="4" fontId="0" fillId="9" borderId="0" xfId="0" applyNumberFormat="1" applyFill="1"/>
    <xf numFmtId="17" fontId="7" fillId="9" borderId="0" xfId="0" applyNumberFormat="1" applyFont="1" applyFill="1"/>
    <xf numFmtId="0" fontId="0" fillId="9" borderId="0" xfId="0" applyFill="1"/>
    <xf numFmtId="166" fontId="0" fillId="9" borderId="0" xfId="0" applyNumberFormat="1" applyFill="1"/>
    <xf numFmtId="4" fontId="0" fillId="9" borderId="16" xfId="0" applyNumberFormat="1" applyFill="1" applyBorder="1"/>
    <xf numFmtId="0" fontId="3" fillId="0" borderId="0" xfId="0" applyFont="1" applyAlignment="1">
      <alignment wrapText="1"/>
    </xf>
    <xf numFmtId="7" fontId="7" fillId="0" borderId="0" xfId="0" applyNumberFormat="1" applyFont="1"/>
    <xf numFmtId="170" fontId="7" fillId="0" borderId="0" xfId="0" applyNumberFormat="1" applyFont="1"/>
    <xf numFmtId="14" fontId="3" fillId="0" borderId="20" xfId="0" applyNumberFormat="1" applyFont="1" applyBorder="1"/>
    <xf numFmtId="166" fontId="3" fillId="0" borderId="0" xfId="0" applyNumberFormat="1" applyFont="1"/>
    <xf numFmtId="2" fontId="13" fillId="0" borderId="0" xfId="1" applyNumberFormat="1" applyFont="1" applyProtection="1">
      <protection hidden="1"/>
    </xf>
    <xf numFmtId="2" fontId="0" fillId="0" borderId="16" xfId="0" applyNumberFormat="1" applyBorder="1"/>
    <xf numFmtId="2" fontId="14" fillId="3" borderId="6" xfId="1" quotePrefix="1" applyNumberFormat="1" applyFont="1" applyFill="1" applyBorder="1" applyAlignment="1" applyProtection="1">
      <alignment horizontal="center" vertical="center" wrapText="1"/>
      <protection hidden="1"/>
    </xf>
    <xf numFmtId="2" fontId="0" fillId="10" borderId="21" xfId="0" applyNumberFormat="1" applyFill="1" applyBorder="1"/>
    <xf numFmtId="0" fontId="3" fillId="10" borderId="20" xfId="0" applyFont="1" applyFill="1" applyBorder="1"/>
    <xf numFmtId="2" fontId="0" fillId="10" borderId="0" xfId="0" applyNumberFormat="1" applyFill="1"/>
    <xf numFmtId="0" fontId="3" fillId="10" borderId="21" xfId="0" applyFont="1" applyFill="1" applyBorder="1"/>
    <xf numFmtId="0" fontId="0" fillId="10" borderId="21" xfId="0" applyFill="1" applyBorder="1"/>
    <xf numFmtId="0" fontId="0" fillId="10" borderId="0" xfId="0" applyFill="1"/>
    <xf numFmtId="0" fontId="26" fillId="10" borderId="0" xfId="0" applyFont="1" applyFill="1"/>
    <xf numFmtId="14" fontId="0" fillId="10" borderId="0" xfId="0" applyNumberFormat="1" applyFill="1"/>
    <xf numFmtId="0" fontId="3" fillId="10" borderId="0" xfId="0" applyFont="1" applyFill="1" applyAlignment="1">
      <alignment wrapText="1"/>
    </xf>
    <xf numFmtId="0" fontId="3" fillId="8" borderId="0" xfId="0" applyFont="1" applyFill="1"/>
    <xf numFmtId="0" fontId="37" fillId="8" borderId="0" xfId="0" applyFont="1" applyFill="1"/>
    <xf numFmtId="0" fontId="2" fillId="0" borderId="0" xfId="5"/>
    <xf numFmtId="0" fontId="2" fillId="11" borderId="0" xfId="5" applyFill="1"/>
    <xf numFmtId="0" fontId="2" fillId="12" borderId="0" xfId="5" applyFill="1"/>
    <xf numFmtId="0" fontId="2" fillId="13" borderId="0" xfId="5" applyFill="1"/>
    <xf numFmtId="0" fontId="2" fillId="14" borderId="0" xfId="5" applyFill="1"/>
    <xf numFmtId="14" fontId="2" fillId="11" borderId="0" xfId="5" applyNumberFormat="1" applyFill="1"/>
    <xf numFmtId="14" fontId="2" fillId="12" borderId="0" xfId="5" applyNumberFormat="1" applyFill="1"/>
    <xf numFmtId="14" fontId="2" fillId="13" borderId="0" xfId="5" applyNumberFormat="1" applyFill="1"/>
    <xf numFmtId="17" fontId="2" fillId="0" borderId="0" xfId="5" applyNumberFormat="1"/>
    <xf numFmtId="0" fontId="40" fillId="13" borderId="0" xfId="5" applyFont="1" applyFill="1"/>
    <xf numFmtId="0" fontId="40" fillId="14" borderId="0" xfId="5" applyFont="1" applyFill="1"/>
    <xf numFmtId="0" fontId="40" fillId="11" borderId="0" xfId="5" applyFont="1" applyFill="1"/>
    <xf numFmtId="0" fontId="40" fillId="12" borderId="0" xfId="5" applyFont="1" applyFill="1"/>
    <xf numFmtId="14" fontId="1" fillId="13" borderId="0" xfId="5" applyNumberFormat="1" applyFont="1" applyFill="1"/>
    <xf numFmtId="168" fontId="21" fillId="4" borderId="0" xfId="1" applyNumberFormat="1" applyFont="1" applyFill="1" applyBorder="1" applyAlignment="1" applyProtection="1">
      <alignment horizontal="center" vertical="center" wrapText="1"/>
      <protection hidden="1"/>
    </xf>
    <xf numFmtId="0" fontId="0" fillId="15" borderId="0" xfId="0" applyFill="1"/>
    <xf numFmtId="0" fontId="0" fillId="16" borderId="0" xfId="0" applyFill="1"/>
    <xf numFmtId="166" fontId="13" fillId="5" borderId="15" xfId="1" applyNumberFormat="1" applyFont="1" applyFill="1" applyBorder="1" applyAlignment="1" applyProtection="1">
      <alignment horizontal="left"/>
      <protection hidden="1"/>
    </xf>
    <xf numFmtId="166" fontId="13" fillId="5" borderId="16" xfId="1" applyNumberFormat="1" applyFont="1" applyFill="1" applyBorder="1" applyAlignment="1" applyProtection="1">
      <alignment horizontal="left"/>
      <protection hidden="1"/>
    </xf>
    <xf numFmtId="166" fontId="13" fillId="5" borderId="11" xfId="1" applyNumberFormat="1" applyFont="1" applyFill="1" applyBorder="1" applyAlignment="1" applyProtection="1">
      <alignment horizontal="left"/>
      <protection hidden="1"/>
    </xf>
    <xf numFmtId="0" fontId="3" fillId="0" borderId="17" xfId="0" applyFont="1"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0" fillId="0" borderId="0" xfId="0" applyAlignment="1">
      <alignment horizontal="center"/>
    </xf>
    <xf numFmtId="0" fontId="0" fillId="0" borderId="23" xfId="0" applyBorder="1" applyAlignment="1">
      <alignment horizontal="center"/>
    </xf>
    <xf numFmtId="0" fontId="0" fillId="0" borderId="24" xfId="0" applyBorder="1" applyAlignment="1">
      <alignment horizontal="center"/>
    </xf>
    <xf numFmtId="0" fontId="3" fillId="0" borderId="0" xfId="0" applyFont="1" applyAlignment="1">
      <alignment horizontal="center"/>
    </xf>
    <xf numFmtId="0" fontId="7" fillId="0" borderId="0" xfId="0" applyFont="1" applyAlignment="1">
      <alignment horizontal="center"/>
    </xf>
    <xf numFmtId="0" fontId="31" fillId="0" borderId="28" xfId="0" applyFont="1" applyBorder="1" applyAlignment="1">
      <alignment vertical="center" wrapText="1"/>
    </xf>
    <xf numFmtId="0" fontId="31" fillId="0" borderId="27" xfId="0" applyFont="1" applyBorder="1" applyAlignment="1">
      <alignment vertical="center" wrapText="1"/>
    </xf>
  </cellXfs>
  <cellStyles count="6">
    <cellStyle name="Comma" xfId="1" builtinId="3"/>
    <cellStyle name="Currency" xfId="4" builtinId="4"/>
    <cellStyle name="Hyperlink" xfId="2" builtinId="8"/>
    <cellStyle name="Normal" xfId="0" builtinId="0"/>
    <cellStyle name="Normal 2" xfId="5" xr:uid="{F98C1060-4FAB-4877-AF30-61650F49703B}"/>
    <cellStyle name="Percent" xfId="3" builtinId="5"/>
  </cellStyles>
  <dxfs count="14">
    <dxf>
      <font>
        <b/>
        <i val="0"/>
        <color theme="0"/>
      </font>
      <fill>
        <patternFill>
          <bgColor rgb="FFFF6600"/>
        </patternFill>
      </fill>
      <border>
        <left style="thin">
          <color indexed="64"/>
        </left>
        <right style="thin">
          <color indexed="64"/>
        </right>
        <top style="thin">
          <color indexed="64"/>
        </top>
        <bottom style="thin">
          <color indexed="64"/>
        </bottom>
      </border>
    </dxf>
    <dxf>
      <font>
        <b/>
        <i val="0"/>
        <condense val="0"/>
        <extend val="0"/>
        <color indexed="9"/>
      </font>
      <fill>
        <patternFill>
          <bgColor rgb="FFFF6600"/>
        </patternFill>
      </fill>
      <border>
        <left style="thin">
          <color indexed="22"/>
        </left>
        <right style="thin">
          <color indexed="22"/>
        </right>
        <top style="thin">
          <color indexed="22"/>
        </top>
        <bottom style="thin">
          <color indexed="22"/>
        </bottom>
      </border>
    </dxf>
    <dxf>
      <fill>
        <patternFill patternType="solid">
          <fgColor indexed="64"/>
          <bgColor theme="2" tint="-9.9978637043366805E-2"/>
        </patternFill>
      </fill>
    </dxf>
    <dxf>
      <numFmt numFmtId="19" formatCode="d/mm/yyyy"/>
      <fill>
        <patternFill patternType="solid">
          <fgColor indexed="64"/>
          <bgColor theme="6" tint="0.79998168889431442"/>
        </patternFill>
      </fill>
    </dxf>
    <dxf>
      <numFmt numFmtId="19" formatCode="d/mm/yyyy"/>
      <fill>
        <patternFill patternType="solid">
          <fgColor indexed="64"/>
          <bgColor theme="4" tint="0.79998168889431442"/>
        </patternFill>
      </fill>
    </dxf>
    <dxf>
      <numFmt numFmtId="19" formatCode="d/mm/yyyy"/>
      <fill>
        <patternFill patternType="solid">
          <fgColor indexed="64"/>
          <bgColor theme="5" tint="0.79998168889431442"/>
        </patternFill>
      </fill>
    </dxf>
    <dxf>
      <fill>
        <patternFill patternType="solid">
          <fgColor indexed="64"/>
          <bgColor theme="2" tint="-9.9978637043366805E-2"/>
        </patternFill>
      </fill>
    </dxf>
    <dxf>
      <numFmt numFmtId="19" formatCode="d/mm/yyyy"/>
      <fill>
        <patternFill patternType="solid">
          <fgColor indexed="64"/>
          <bgColor theme="6" tint="0.79998168889431442"/>
        </patternFill>
      </fill>
    </dxf>
    <dxf>
      <fill>
        <patternFill patternType="solid">
          <fgColor indexed="64"/>
          <bgColor theme="2" tint="-9.9978637043366805E-2"/>
        </patternFill>
      </fill>
    </dxf>
    <dxf>
      <numFmt numFmtId="19" formatCode="d/mm/yyyy"/>
      <fill>
        <patternFill patternType="solid">
          <fgColor indexed="64"/>
          <bgColor theme="6" tint="0.79998168889431442"/>
        </patternFill>
      </fill>
    </dxf>
    <dxf>
      <numFmt numFmtId="19" formatCode="d/mm/yyyy"/>
      <fill>
        <patternFill patternType="solid">
          <fgColor indexed="64"/>
          <bgColor theme="4" tint="0.79998168889431442"/>
        </patternFill>
      </fill>
    </dxf>
    <dxf>
      <numFmt numFmtId="19" formatCode="d/mm/yyyy"/>
      <fill>
        <patternFill patternType="solid">
          <fgColor indexed="64"/>
          <bgColor theme="5" tint="0.79998168889431442"/>
        </patternFill>
      </fill>
    </dxf>
    <dxf>
      <fill>
        <patternFill patternType="solid">
          <fgColor indexed="64"/>
          <bgColor theme="2" tint="-9.9978637043366805E-2"/>
        </patternFill>
      </fill>
    </dxf>
    <dxf>
      <numFmt numFmtId="19" formatCode="d/mm/yyyy"/>
      <fill>
        <patternFill patternType="solid">
          <fgColor indexed="64"/>
          <bgColor theme="6"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Sch</a:t>
            </a:r>
            <a:r>
              <a:rPr lang="en-NZ" baseline="0"/>
              <a:t> of  exch rate changes</a:t>
            </a:r>
            <a:endParaRPr lang="en-NZ"/>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NZ"/>
        </a:p>
      </c:txPr>
    </c:title>
    <c:autoTitleDeleted val="0"/>
    <c:plotArea>
      <c:layout/>
      <c:lineChart>
        <c:grouping val="standard"/>
        <c:varyColors val="0"/>
        <c:ser>
          <c:idx val="0"/>
          <c:order val="0"/>
          <c:spPr>
            <a:ln w="28575" cap="rnd">
              <a:solidFill>
                <a:schemeClr val="accent1"/>
              </a:solidFill>
              <a:round/>
            </a:ln>
            <a:effectLst/>
          </c:spPr>
          <c:marker>
            <c:symbol val="none"/>
          </c:marker>
          <c:cat>
            <c:strRef>
              <c:f>'Margin Calcs'!$K$3:$K$7</c:f>
              <c:strCache>
                <c:ptCount val="5"/>
                <c:pt idx="0">
                  <c:v>Mid June</c:v>
                </c:pt>
                <c:pt idx="1">
                  <c:v>End June</c:v>
                </c:pt>
                <c:pt idx="2">
                  <c:v>Mid July</c:v>
                </c:pt>
                <c:pt idx="3">
                  <c:v>End July</c:v>
                </c:pt>
                <c:pt idx="4">
                  <c:v>End Aug</c:v>
                </c:pt>
              </c:strCache>
            </c:strRef>
          </c:cat>
          <c:val>
            <c:numRef>
              <c:f>'Margin Calcs'!$L$3:$L$7</c:f>
              <c:numCache>
                <c:formatCode>General</c:formatCode>
                <c:ptCount val="5"/>
                <c:pt idx="0">
                  <c:v>0.60606060606060608</c:v>
                </c:pt>
                <c:pt idx="1">
                  <c:v>0.60642813826561548</c:v>
                </c:pt>
                <c:pt idx="2">
                  <c:v>0.59737156511350065</c:v>
                </c:pt>
                <c:pt idx="3">
                  <c:v>0.59101654846335694</c:v>
                </c:pt>
                <c:pt idx="4">
                  <c:v>0.59000531004779044</c:v>
                </c:pt>
              </c:numCache>
            </c:numRef>
          </c:val>
          <c:smooth val="0"/>
          <c:extLst>
            <c:ext xmlns:c16="http://schemas.microsoft.com/office/drawing/2014/chart" uri="{C3380CC4-5D6E-409C-BE32-E72D297353CC}">
              <c16:uniqueId val="{00000000-FDEE-4C09-877E-1D8202F40346}"/>
            </c:ext>
          </c:extLst>
        </c:ser>
        <c:dLbls>
          <c:showLegendKey val="0"/>
          <c:showVal val="0"/>
          <c:showCatName val="0"/>
          <c:showSerName val="0"/>
          <c:showPercent val="0"/>
          <c:showBubbleSize val="0"/>
        </c:dLbls>
        <c:smooth val="0"/>
        <c:axId val="1222579040"/>
        <c:axId val="1222559360"/>
      </c:lineChart>
      <c:catAx>
        <c:axId val="1222579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2559360"/>
        <c:crosses val="autoZero"/>
        <c:auto val="1"/>
        <c:lblAlgn val="ctr"/>
        <c:lblOffset val="100"/>
        <c:noMultiLvlLbl val="0"/>
      </c:catAx>
      <c:valAx>
        <c:axId val="12225593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25790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Closing Bank Balances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'Margin Calcs'!$G$28:$G$33</c:f>
              <c:strCache>
                <c:ptCount val="6"/>
                <c:pt idx="0">
                  <c:v>End March 2023</c:v>
                </c:pt>
                <c:pt idx="1">
                  <c:v>End Sept 2023</c:v>
                </c:pt>
                <c:pt idx="2">
                  <c:v>End March 2024</c:v>
                </c:pt>
                <c:pt idx="3">
                  <c:v>End Sept 2024</c:v>
                </c:pt>
                <c:pt idx="4">
                  <c:v>End March 2025</c:v>
                </c:pt>
                <c:pt idx="5">
                  <c:v>End August 2025</c:v>
                </c:pt>
              </c:strCache>
            </c:strRef>
          </c:cat>
          <c:val>
            <c:numRef>
              <c:f>'Margin Calcs'!$H$28:$H$33</c:f>
              <c:numCache>
                <c:formatCode>"$"#,##0.00</c:formatCode>
                <c:ptCount val="6"/>
                <c:pt idx="0">
                  <c:v>3225</c:v>
                </c:pt>
                <c:pt idx="1">
                  <c:v>2195.63</c:v>
                </c:pt>
                <c:pt idx="2">
                  <c:v>2758.96</c:v>
                </c:pt>
                <c:pt idx="3">
                  <c:v>2783.72</c:v>
                </c:pt>
                <c:pt idx="4">
                  <c:v>2572.5300000000002</c:v>
                </c:pt>
                <c:pt idx="5">
                  <c:v>1410.54</c:v>
                </c:pt>
              </c:numCache>
            </c:numRef>
          </c:val>
          <c:smooth val="0"/>
          <c:extLst>
            <c:ext xmlns:c16="http://schemas.microsoft.com/office/drawing/2014/chart" uri="{C3380CC4-5D6E-409C-BE32-E72D297353CC}">
              <c16:uniqueId val="{00000000-3E01-4393-B24F-B1321031DF00}"/>
            </c:ext>
          </c:extLst>
        </c:ser>
        <c:dLbls>
          <c:dLblPos val="t"/>
          <c:showLegendKey val="0"/>
          <c:showVal val="1"/>
          <c:showCatName val="0"/>
          <c:showSerName val="0"/>
          <c:showPercent val="0"/>
          <c:showBubbleSize val="0"/>
        </c:dLbls>
        <c:marker val="1"/>
        <c:smooth val="0"/>
        <c:axId val="1209440800"/>
        <c:axId val="1209447040"/>
      </c:lineChart>
      <c:catAx>
        <c:axId val="1209440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9447040"/>
        <c:crosses val="autoZero"/>
        <c:auto val="1"/>
        <c:lblAlgn val="ctr"/>
        <c:lblOffset val="100"/>
        <c:noMultiLvlLbl val="0"/>
      </c:catAx>
      <c:valAx>
        <c:axId val="120944704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944080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www.excel-skills.com.au/excel_templates.asp" TargetMode="Externa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http://www.excel-skills.com.au/excel_templates.asp"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http://www.excel-skills.com.au/excel_templates.asp" TargetMode="External"/></Relationships>
</file>

<file path=xl/drawings/drawing1.xml><?xml version="1.0" encoding="utf-8"?>
<xdr:wsDr xmlns:xdr="http://schemas.openxmlformats.org/drawingml/2006/spreadsheetDrawing" xmlns:a="http://schemas.openxmlformats.org/drawingml/2006/main">
  <xdr:twoCellAnchor editAs="absolute">
    <xdr:from>
      <xdr:col>60</xdr:col>
      <xdr:colOff>100263</xdr:colOff>
      <xdr:row>2</xdr:row>
      <xdr:rowOff>190498</xdr:rowOff>
    </xdr:from>
    <xdr:to>
      <xdr:col>60</xdr:col>
      <xdr:colOff>172263</xdr:colOff>
      <xdr:row>3</xdr:row>
      <xdr:rowOff>11840</xdr:rowOff>
    </xdr:to>
    <xdr:sp macro="" textlink="">
      <xdr:nvSpPr>
        <xdr:cNvPr id="3" name="Rectangle 1" title="www.excel-skills.com">
          <a:hlinkClick xmlns:r="http://schemas.openxmlformats.org/officeDocument/2006/relationships" r:id="rId1" tooltip="© www.excel-skills.com.au"/>
          <a:extLst>
            <a:ext uri="{FF2B5EF4-FFF2-40B4-BE49-F238E27FC236}">
              <a16:creationId xmlns:a16="http://schemas.microsoft.com/office/drawing/2014/main" id="{00000000-0008-0000-0200-000003000000}"/>
            </a:ext>
          </a:extLst>
        </xdr:cNvPr>
        <xdr:cNvSpPr>
          <a:spLocks noChangeArrowheads="1"/>
        </xdr:cNvSpPr>
      </xdr:nvSpPr>
      <xdr:spPr bwMode="auto">
        <a:xfrm>
          <a:off x="47965895" y="641682"/>
          <a:ext cx="72000" cy="72000"/>
        </a:xfrm>
        <a:prstGeom prst="rect">
          <a:avLst/>
        </a:prstGeom>
        <a:solidFill>
          <a:schemeClr val="bg1"/>
        </a:solidFill>
        <a:ln w="9525">
          <a:noFill/>
          <a:miter lim="800000"/>
          <a:headEnd/>
          <a:tailEnd/>
        </a:ln>
        <a:effectLst/>
      </xdr:spPr>
      <xdr:txBody>
        <a:bodyPr vertOverflow="clip" horzOverflow="clip" wrap="none" lIns="0" tIns="0" rIns="0" bIns="0" anchor="ctr" upright="1"/>
        <a:lstStyle/>
        <a:p>
          <a:pPr algn="ctr" rtl="0">
            <a:lnSpc>
              <a:spcPct val="100000"/>
            </a:lnSpc>
            <a:defRPr sz="1000"/>
          </a:pPr>
          <a:r>
            <a:rPr lang="en-US" sz="800" b="0" i="0" u="none" strike="noStrike" baseline="0">
              <a:solidFill>
                <a:schemeClr val="bg1"/>
              </a:solidFill>
              <a:latin typeface="Arial Rounded MT Bold" pitchFamily="34" charset="0"/>
              <a:cs typeface="Arial"/>
            </a:rPr>
            <a:t>www.excel-skills.com.au</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9</xdr:col>
      <xdr:colOff>138112</xdr:colOff>
      <xdr:row>7</xdr:row>
      <xdr:rowOff>42862</xdr:rowOff>
    </xdr:from>
    <xdr:to>
      <xdr:col>16</xdr:col>
      <xdr:colOff>442912</xdr:colOff>
      <xdr:row>24</xdr:row>
      <xdr:rowOff>23812</xdr:rowOff>
    </xdr:to>
    <xdr:graphicFrame macro="">
      <xdr:nvGraphicFramePr>
        <xdr:cNvPr id="2" name="Chart 1">
          <a:extLst>
            <a:ext uri="{FF2B5EF4-FFF2-40B4-BE49-F238E27FC236}">
              <a16:creationId xmlns:a16="http://schemas.microsoft.com/office/drawing/2014/main" id="{76E03D8F-E40C-DC7C-04FC-CF6DAB9868F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152400</xdr:colOff>
      <xdr:row>23</xdr:row>
      <xdr:rowOff>138112</xdr:rowOff>
    </xdr:from>
    <xdr:to>
      <xdr:col>15</xdr:col>
      <xdr:colOff>552450</xdr:colOff>
      <xdr:row>40</xdr:row>
      <xdr:rowOff>109537</xdr:rowOff>
    </xdr:to>
    <xdr:graphicFrame macro="">
      <xdr:nvGraphicFramePr>
        <xdr:cNvPr id="4" name="Chart 3">
          <a:extLst>
            <a:ext uri="{FF2B5EF4-FFF2-40B4-BE49-F238E27FC236}">
              <a16:creationId xmlns:a16="http://schemas.microsoft.com/office/drawing/2014/main" id="{EB517470-1893-3CC6-CD26-DF4D7BA1779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absolute">
    <xdr:from>
      <xdr:col>63</xdr:col>
      <xdr:colOff>190500</xdr:colOff>
      <xdr:row>3</xdr:row>
      <xdr:rowOff>60156</xdr:rowOff>
    </xdr:from>
    <xdr:to>
      <xdr:col>63</xdr:col>
      <xdr:colOff>262500</xdr:colOff>
      <xdr:row>3</xdr:row>
      <xdr:rowOff>132156</xdr:rowOff>
    </xdr:to>
    <xdr:sp macro="" textlink="">
      <xdr:nvSpPr>
        <xdr:cNvPr id="3" name="Rectangle 1" title="www.excel-skills.com">
          <a:hlinkClick xmlns:r="http://schemas.openxmlformats.org/officeDocument/2006/relationships" r:id="rId1" tooltip="© www.excel-skills.com.au"/>
          <a:extLst>
            <a:ext uri="{FF2B5EF4-FFF2-40B4-BE49-F238E27FC236}">
              <a16:creationId xmlns:a16="http://schemas.microsoft.com/office/drawing/2014/main" id="{00000000-0008-0000-0300-000003000000}"/>
            </a:ext>
          </a:extLst>
        </xdr:cNvPr>
        <xdr:cNvSpPr>
          <a:spLocks noChangeArrowheads="1"/>
        </xdr:cNvSpPr>
      </xdr:nvSpPr>
      <xdr:spPr bwMode="auto">
        <a:xfrm>
          <a:off x="49890947" y="641682"/>
          <a:ext cx="72000" cy="72000"/>
        </a:xfrm>
        <a:prstGeom prst="rect">
          <a:avLst/>
        </a:prstGeom>
        <a:solidFill>
          <a:schemeClr val="bg1"/>
        </a:solidFill>
        <a:ln w="9525">
          <a:noFill/>
          <a:miter lim="800000"/>
          <a:headEnd/>
          <a:tailEnd/>
        </a:ln>
        <a:effectLst/>
      </xdr:spPr>
      <xdr:txBody>
        <a:bodyPr vertOverflow="clip" horzOverflow="clip" wrap="none" lIns="0" tIns="0" rIns="0" bIns="0" anchor="ctr" upright="1"/>
        <a:lstStyle/>
        <a:p>
          <a:pPr algn="ctr" rtl="0">
            <a:lnSpc>
              <a:spcPct val="100000"/>
            </a:lnSpc>
            <a:defRPr sz="1000"/>
          </a:pPr>
          <a:r>
            <a:rPr lang="en-US" sz="800" b="0" i="0" u="none" strike="noStrike" baseline="0">
              <a:solidFill>
                <a:schemeClr val="bg1"/>
              </a:solidFill>
              <a:latin typeface="Arial Rounded MT Bold" pitchFamily="34" charset="0"/>
              <a:cs typeface="Arial"/>
            </a:rPr>
            <a:t>www.excel-skills.com.au</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absolute">
    <xdr:from>
      <xdr:col>62</xdr:col>
      <xdr:colOff>100263</xdr:colOff>
      <xdr:row>3</xdr:row>
      <xdr:rowOff>60156</xdr:rowOff>
    </xdr:from>
    <xdr:to>
      <xdr:col>62</xdr:col>
      <xdr:colOff>172263</xdr:colOff>
      <xdr:row>3</xdr:row>
      <xdr:rowOff>132156</xdr:rowOff>
    </xdr:to>
    <xdr:sp macro="" textlink="">
      <xdr:nvSpPr>
        <xdr:cNvPr id="3" name="Rectangle 1" title="www.excel-skills.com">
          <a:hlinkClick xmlns:r="http://schemas.openxmlformats.org/officeDocument/2006/relationships" r:id="rId1" tooltip="© www.excel-skills.com.au"/>
          <a:extLst>
            <a:ext uri="{FF2B5EF4-FFF2-40B4-BE49-F238E27FC236}">
              <a16:creationId xmlns:a16="http://schemas.microsoft.com/office/drawing/2014/main" id="{00000000-0008-0000-0400-000003000000}"/>
            </a:ext>
          </a:extLst>
        </xdr:cNvPr>
        <xdr:cNvSpPr>
          <a:spLocks noChangeArrowheads="1"/>
        </xdr:cNvSpPr>
      </xdr:nvSpPr>
      <xdr:spPr bwMode="auto">
        <a:xfrm>
          <a:off x="50422342" y="641682"/>
          <a:ext cx="72000" cy="72000"/>
        </a:xfrm>
        <a:prstGeom prst="rect">
          <a:avLst/>
        </a:prstGeom>
        <a:solidFill>
          <a:schemeClr val="bg1"/>
        </a:solidFill>
        <a:ln w="9525">
          <a:noFill/>
          <a:miter lim="800000"/>
          <a:headEnd/>
          <a:tailEnd/>
        </a:ln>
        <a:effectLst/>
      </xdr:spPr>
      <xdr:txBody>
        <a:bodyPr vertOverflow="clip" horzOverflow="clip" wrap="none" lIns="0" tIns="0" rIns="0" bIns="0" anchor="ctr" upright="1"/>
        <a:lstStyle/>
        <a:p>
          <a:pPr algn="ctr" rtl="0">
            <a:lnSpc>
              <a:spcPct val="100000"/>
            </a:lnSpc>
            <a:defRPr sz="1000"/>
          </a:pPr>
          <a:r>
            <a:rPr lang="en-US" sz="800" b="0" i="0" u="none" strike="noStrike" baseline="0">
              <a:solidFill>
                <a:schemeClr val="bg1"/>
              </a:solidFill>
              <a:latin typeface="Arial Rounded MT Bold" pitchFamily="34" charset="0"/>
              <a:cs typeface="Arial"/>
            </a:rPr>
            <a:t>www.excel-skills.com.au</a:t>
          </a:r>
        </a:p>
      </xdr:txBody>
    </xdr:sp>
    <xdr:clientData fPrintsWithSheet="0"/>
  </xdr:twoCellAnchor>
</xdr:wsDr>
</file>

<file path=xl/persons/person.xml><?xml version="1.0" encoding="utf-8"?>
<personList xmlns="http://schemas.microsoft.com/office/spreadsheetml/2018/threadedcomments" xmlns:x="http://schemas.openxmlformats.org/spreadsheetml/2006/main">
  <person displayName="Christopher Bird" id="{9A27CADB-8EBE-4962-AC35-BE4E18E5F6C2}" userId="057e92f4fbab76d5" providerId="Windows Liv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FC47BBE-A630-46A9-A33A-C33A0393FB07}" name="BDloads3" displayName="BDloads3" ref="R5:W22" totalsRowShown="0">
  <autoFilter ref="R5:W22" xr:uid="{6FC47BBE-A630-46A9-A33A-C33A0393FB07}"/>
  <tableColumns count="6">
    <tableColumn id="1" xr3:uid="{38201B40-5300-49D9-B557-DEF023F3EB6E}" name="GL Acct" dataDxfId="13" dataCellStyle="Normal 2"/>
    <tableColumn id="2" xr3:uid="{777AF543-0CB0-4E19-A2F4-B709ECF608B8}" name="Amount" dataDxfId="12" dataCellStyle="Normal 2"/>
    <tableColumn id="3" xr3:uid="{1F99DD6C-1DB5-4612-97EC-6FEBA4610441}" name="Transaction Date" dataDxfId="11" dataCellStyle="Normal 2"/>
    <tableColumn id="4" xr3:uid="{489623B4-F764-4714-8C22-E5E2DFF0603E}" name="Detail" dataDxfId="10" dataCellStyle="Normal 2"/>
    <tableColumn id="5" xr3:uid="{761580A2-56AA-4C7F-A23B-773918B5CA16}" name="GL Acct2" dataDxfId="9" dataCellStyle="Normal 2"/>
    <tableColumn id="6" xr3:uid="{93D94E96-1E79-46BB-9DD4-0E64729ADC14}" name="Amount3" dataDxfId="8" dataCellStyle="Normal 2"/>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9E02FE1-37F3-418D-832A-5EE6EA7BFCCA}" name="BDloads" displayName="BDloads" ref="A3:F20" totalsRowShown="0">
  <autoFilter ref="A3:F20" xr:uid="{99E02FE1-37F3-418D-832A-5EE6EA7BFCCA}"/>
  <tableColumns count="6">
    <tableColumn id="1" xr3:uid="{E656D2D0-5AA1-4EA0-9C07-522105AA1BE3}" name="GL Acct" dataDxfId="7" dataCellStyle="Normal 2"/>
    <tableColumn id="2" xr3:uid="{ECB4402F-A494-4DC0-BA3F-08017DCC6031}" name="Amount" dataDxfId="6" dataCellStyle="Normal 2"/>
    <tableColumn id="3" xr3:uid="{707B8300-15DF-4A34-9849-E6CA2EEF2E82}" name="Transaction Date" dataDxfId="5" dataCellStyle="Normal 2"/>
    <tableColumn id="4" xr3:uid="{EE506FC1-B761-486E-9DDF-E713127D3C8B}" name="Detail" dataDxfId="4" dataCellStyle="Normal 2"/>
    <tableColumn id="5" xr3:uid="{4A3383B8-4485-4261-8A44-2EEF9880D129}" name="GL Acct2" dataDxfId="3" dataCellStyle="Normal 2"/>
    <tableColumn id="6" xr3:uid="{4C56E3AE-F00B-4BB4-8D5B-8B2D6E2F41EE}" name="Amount3" dataDxfId="2" dataCellStyle="Normal 2"/>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8" dT="2025-09-04T05:53:54.90" personId="{9A27CADB-8EBE-4962-AC35-BE4E18E5F6C2}" id="{16313673-1B9A-40BA-98B0-F3A10E74210A}">
    <text>Arjun</text>
  </threadedComment>
  <threadedComment ref="B15" dT="2025-08-05T16:48:53.81" personId="{9A27CADB-8EBE-4962-AC35-BE4E18E5F6C2}" id="{A92FE06E-96F3-4BF3-AE7F-CC879BBEB062}">
    <text xml:space="preserve">Pd by reimbursing personal Cr Card
</text>
  </threadedComment>
  <threadedComment ref="D15" dT="2025-09-04T06:55:10.32" personId="{9A27CADB-8EBE-4962-AC35-BE4E18E5F6C2}" id="{B421FF4F-1DEF-49DC-933F-AEEDD74FF04E}">
    <text>Sai,  Arjun</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excel-skills.com.au/" TargetMode="External"/></Relationships>
</file>

<file path=xl/worksheets/_rels/sheet1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 Id="rId4" Type="http://schemas.microsoft.com/office/2017/10/relationships/threadedComment" Target="../threadedComments/threadedComment1.xml"/></Relationships>
</file>

<file path=xl/worksheets/_rels/sheet9.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179"/>
  <sheetViews>
    <sheetView zoomScaleNormal="100" workbookViewId="0">
      <pane ySplit="3" topLeftCell="A4" activePane="bottomLeft" state="frozen"/>
      <selection pane="bottomLeft"/>
    </sheetView>
  </sheetViews>
  <sheetFormatPr defaultRowHeight="12.75" x14ac:dyDescent="0.2"/>
  <cols>
    <col min="1" max="1" width="100.7109375" style="6" customWidth="1"/>
    <col min="2" max="20" width="15.7109375" style="6" customWidth="1"/>
    <col min="21" max="16384" width="9.140625" style="6"/>
  </cols>
  <sheetData>
    <row r="1" spans="1:1" ht="18" x14ac:dyDescent="0.25">
      <c r="A1" s="1" t="s">
        <v>130</v>
      </c>
    </row>
    <row r="2" spans="1:1" ht="14.25" x14ac:dyDescent="0.2">
      <c r="A2" s="7" t="s">
        <v>31</v>
      </c>
    </row>
    <row r="3" spans="1:1" ht="15" x14ac:dyDescent="0.25">
      <c r="A3" s="78" t="s">
        <v>131</v>
      </c>
    </row>
    <row r="5" spans="1:1" ht="89.25" x14ac:dyDescent="0.2">
      <c r="A5" s="2" t="s">
        <v>82</v>
      </c>
    </row>
    <row r="6" spans="1:1" x14ac:dyDescent="0.2">
      <c r="A6" s="2"/>
    </row>
    <row r="7" spans="1:1" ht="51" x14ac:dyDescent="0.2">
      <c r="A7" s="2" t="s">
        <v>83</v>
      </c>
    </row>
    <row r="8" spans="1:1" x14ac:dyDescent="0.2">
      <c r="A8" s="2"/>
    </row>
    <row r="9" spans="1:1" ht="76.5" x14ac:dyDescent="0.2">
      <c r="A9" s="4" t="s">
        <v>45</v>
      </c>
    </row>
    <row r="10" spans="1:1" x14ac:dyDescent="0.2">
      <c r="A10" s="4"/>
    </row>
    <row r="11" spans="1:1" ht="25.5" x14ac:dyDescent="0.2">
      <c r="A11" s="4" t="s">
        <v>43</v>
      </c>
    </row>
    <row r="12" spans="1:1" x14ac:dyDescent="0.2">
      <c r="A12" s="2"/>
    </row>
    <row r="13" spans="1:1" x14ac:dyDescent="0.2">
      <c r="A13" s="2" t="s">
        <v>46</v>
      </c>
    </row>
    <row r="14" spans="1:1" x14ac:dyDescent="0.2">
      <c r="A14" s="3" t="s">
        <v>47</v>
      </c>
    </row>
    <row r="15" spans="1:1" ht="38.25" x14ac:dyDescent="0.2">
      <c r="A15" s="3" t="s">
        <v>84</v>
      </c>
    </row>
    <row r="16" spans="1:1" ht="51" x14ac:dyDescent="0.2">
      <c r="A16" s="3" t="s">
        <v>85</v>
      </c>
    </row>
    <row r="17" spans="1:1" ht="38.25" x14ac:dyDescent="0.2">
      <c r="A17" s="3" t="s">
        <v>86</v>
      </c>
    </row>
    <row r="18" spans="1:1" ht="25.5" x14ac:dyDescent="0.2">
      <c r="A18" s="3" t="s">
        <v>87</v>
      </c>
    </row>
    <row r="19" spans="1:1" ht="51" x14ac:dyDescent="0.2">
      <c r="A19" s="3" t="s">
        <v>88</v>
      </c>
    </row>
    <row r="20" spans="1:1" x14ac:dyDescent="0.2">
      <c r="A20" s="2"/>
    </row>
    <row r="21" spans="1:1" ht="15" x14ac:dyDescent="0.25">
      <c r="A21" s="25" t="s">
        <v>37</v>
      </c>
    </row>
    <row r="22" spans="1:1" x14ac:dyDescent="0.2">
      <c r="A22" s="2"/>
    </row>
    <row r="23" spans="1:1" x14ac:dyDescent="0.2">
      <c r="A23" s="26" t="s">
        <v>50</v>
      </c>
    </row>
    <row r="24" spans="1:1" x14ac:dyDescent="0.2">
      <c r="A24" s="2"/>
    </row>
    <row r="25" spans="1:1" x14ac:dyDescent="0.2">
      <c r="A25" s="2" t="s">
        <v>89</v>
      </c>
    </row>
    <row r="26" spans="1:1" x14ac:dyDescent="0.2">
      <c r="A26" s="2"/>
    </row>
    <row r="27" spans="1:1" x14ac:dyDescent="0.2">
      <c r="A27" s="26" t="s">
        <v>25</v>
      </c>
    </row>
    <row r="28" spans="1:1" x14ac:dyDescent="0.2">
      <c r="A28" s="2"/>
    </row>
    <row r="29" spans="1:1" ht="38.25" x14ac:dyDescent="0.2">
      <c r="A29" s="2" t="s">
        <v>90</v>
      </c>
    </row>
    <row r="30" spans="1:1" x14ac:dyDescent="0.2">
      <c r="A30" s="2"/>
    </row>
    <row r="31" spans="1:1" ht="76.5" x14ac:dyDescent="0.2">
      <c r="A31" s="4" t="s">
        <v>91</v>
      </c>
    </row>
    <row r="32" spans="1:1" x14ac:dyDescent="0.2">
      <c r="A32" s="2"/>
    </row>
    <row r="33" spans="1:1" x14ac:dyDescent="0.2">
      <c r="A33" s="26" t="s">
        <v>0</v>
      </c>
    </row>
    <row r="34" spans="1:1" x14ac:dyDescent="0.2">
      <c r="A34" s="2"/>
    </row>
    <row r="35" spans="1:1" x14ac:dyDescent="0.2">
      <c r="A35" s="2" t="s">
        <v>92</v>
      </c>
    </row>
    <row r="36" spans="1:1" x14ac:dyDescent="0.2">
      <c r="A36" s="2"/>
    </row>
    <row r="37" spans="1:1" x14ac:dyDescent="0.2">
      <c r="A37" s="26" t="s">
        <v>2</v>
      </c>
    </row>
    <row r="38" spans="1:1" x14ac:dyDescent="0.2">
      <c r="A38" s="2"/>
    </row>
    <row r="39" spans="1:1" ht="51" x14ac:dyDescent="0.2">
      <c r="A39" s="2" t="s">
        <v>93</v>
      </c>
    </row>
    <row r="40" spans="1:1" x14ac:dyDescent="0.2">
      <c r="A40" s="2"/>
    </row>
    <row r="41" spans="1:1" x14ac:dyDescent="0.2">
      <c r="A41" s="26" t="s">
        <v>32</v>
      </c>
    </row>
    <row r="42" spans="1:1" x14ac:dyDescent="0.2">
      <c r="A42" s="2"/>
    </row>
    <row r="43" spans="1:1" ht="76.5" x14ac:dyDescent="0.2">
      <c r="A43" s="2" t="s">
        <v>94</v>
      </c>
    </row>
    <row r="44" spans="1:1" x14ac:dyDescent="0.2">
      <c r="A44" s="3"/>
    </row>
    <row r="45" spans="1:1" ht="51" x14ac:dyDescent="0.2">
      <c r="A45" s="4" t="s">
        <v>153</v>
      </c>
    </row>
    <row r="46" spans="1:1" x14ac:dyDescent="0.2">
      <c r="A46" s="4"/>
    </row>
    <row r="47" spans="1:1" x14ac:dyDescent="0.2">
      <c r="A47" s="26" t="s">
        <v>53</v>
      </c>
    </row>
    <row r="48" spans="1:1" x14ac:dyDescent="0.2">
      <c r="A48" s="26"/>
    </row>
    <row r="49" spans="1:1" ht="51" x14ac:dyDescent="0.2">
      <c r="A49" s="79" t="s">
        <v>102</v>
      </c>
    </row>
    <row r="50" spans="1:1" x14ac:dyDescent="0.2">
      <c r="A50" s="79"/>
    </row>
    <row r="51" spans="1:1" ht="38.25" x14ac:dyDescent="0.2">
      <c r="A51" s="79" t="s">
        <v>104</v>
      </c>
    </row>
    <row r="52" spans="1:1" x14ac:dyDescent="0.2">
      <c r="A52" s="79"/>
    </row>
    <row r="53" spans="1:1" ht="51" x14ac:dyDescent="0.2">
      <c r="A53" s="4" t="s">
        <v>103</v>
      </c>
    </row>
    <row r="54" spans="1:1" x14ac:dyDescent="0.2">
      <c r="A54" s="4"/>
    </row>
    <row r="55" spans="1:1" x14ac:dyDescent="0.2">
      <c r="A55" s="26" t="s">
        <v>6</v>
      </c>
    </row>
    <row r="56" spans="1:1" x14ac:dyDescent="0.2">
      <c r="A56" s="2"/>
    </row>
    <row r="57" spans="1:1" ht="51" x14ac:dyDescent="0.2">
      <c r="A57" s="79" t="s">
        <v>129</v>
      </c>
    </row>
    <row r="58" spans="1:1" x14ac:dyDescent="0.2">
      <c r="A58" s="2"/>
    </row>
    <row r="59" spans="1:1" ht="51" x14ac:dyDescent="0.2">
      <c r="A59" s="2" t="s">
        <v>95</v>
      </c>
    </row>
    <row r="60" spans="1:1" x14ac:dyDescent="0.2">
      <c r="A60" s="2"/>
    </row>
    <row r="61" spans="1:1" ht="63.75" x14ac:dyDescent="0.2">
      <c r="A61" s="2" t="s">
        <v>38</v>
      </c>
    </row>
    <row r="62" spans="1:1" x14ac:dyDescent="0.2">
      <c r="A62" s="2"/>
    </row>
    <row r="63" spans="1:1" ht="89.25" x14ac:dyDescent="0.2">
      <c r="A63" s="2" t="s">
        <v>39</v>
      </c>
    </row>
    <row r="64" spans="1:1" x14ac:dyDescent="0.2">
      <c r="A64" s="2"/>
    </row>
    <row r="65" spans="1:1" x14ac:dyDescent="0.2">
      <c r="A65" s="26" t="s">
        <v>18</v>
      </c>
    </row>
    <row r="66" spans="1:1" x14ac:dyDescent="0.2">
      <c r="A66" s="2"/>
    </row>
    <row r="67" spans="1:1" ht="63.75" x14ac:dyDescent="0.2">
      <c r="A67" s="2" t="s">
        <v>40</v>
      </c>
    </row>
    <row r="68" spans="1:1" x14ac:dyDescent="0.2">
      <c r="A68" s="2"/>
    </row>
    <row r="69" spans="1:1" ht="38.25" x14ac:dyDescent="0.2">
      <c r="A69" s="4" t="s">
        <v>41</v>
      </c>
    </row>
    <row r="70" spans="1:1" x14ac:dyDescent="0.2">
      <c r="A70" s="2"/>
    </row>
    <row r="71" spans="1:1" x14ac:dyDescent="0.2">
      <c r="A71" s="26" t="s">
        <v>35</v>
      </c>
    </row>
    <row r="72" spans="1:1" x14ac:dyDescent="0.2">
      <c r="A72" s="2"/>
    </row>
    <row r="73" spans="1:1" ht="63.75" x14ac:dyDescent="0.2">
      <c r="A73" s="2" t="s">
        <v>96</v>
      </c>
    </row>
    <row r="74" spans="1:1" x14ac:dyDescent="0.2">
      <c r="A74" s="2"/>
    </row>
    <row r="75" spans="1:1" ht="25.5" x14ac:dyDescent="0.2">
      <c r="A75" s="4" t="s">
        <v>97</v>
      </c>
    </row>
    <row r="76" spans="1:1" x14ac:dyDescent="0.2">
      <c r="A76" s="2"/>
    </row>
    <row r="77" spans="1:1" x14ac:dyDescent="0.2">
      <c r="A77" s="26" t="s">
        <v>17</v>
      </c>
    </row>
    <row r="78" spans="1:1" x14ac:dyDescent="0.2">
      <c r="A78" s="2"/>
    </row>
    <row r="79" spans="1:1" ht="63.75" x14ac:dyDescent="0.2">
      <c r="A79" s="79" t="s">
        <v>134</v>
      </c>
    </row>
    <row r="80" spans="1:1" x14ac:dyDescent="0.2">
      <c r="A80" s="79"/>
    </row>
    <row r="81" spans="1:1" x14ac:dyDescent="0.2">
      <c r="A81" s="26" t="s">
        <v>141</v>
      </c>
    </row>
    <row r="82" spans="1:1" x14ac:dyDescent="0.2">
      <c r="A82" s="79"/>
    </row>
    <row r="83" spans="1:1" ht="38.25" x14ac:dyDescent="0.2">
      <c r="A83" s="79" t="s">
        <v>154</v>
      </c>
    </row>
    <row r="84" spans="1:1" x14ac:dyDescent="0.2">
      <c r="A84" s="79"/>
    </row>
    <row r="85" spans="1:1" ht="25.5" x14ac:dyDescent="0.2">
      <c r="A85" s="79" t="s">
        <v>155</v>
      </c>
    </row>
    <row r="86" spans="1:1" x14ac:dyDescent="0.2">
      <c r="A86" s="79"/>
    </row>
    <row r="87" spans="1:1" ht="25.5" x14ac:dyDescent="0.2">
      <c r="A87" s="79" t="s">
        <v>156</v>
      </c>
    </row>
    <row r="88" spans="1:1" x14ac:dyDescent="0.2">
      <c r="A88" s="79"/>
    </row>
    <row r="89" spans="1:1" ht="76.5" x14ac:dyDescent="0.2">
      <c r="A89" s="79" t="s">
        <v>157</v>
      </c>
    </row>
    <row r="90" spans="1:1" x14ac:dyDescent="0.2">
      <c r="A90" s="79"/>
    </row>
    <row r="91" spans="1:1" ht="38.25" x14ac:dyDescent="0.2">
      <c r="A91" s="4" t="s">
        <v>158</v>
      </c>
    </row>
    <row r="92" spans="1:1" x14ac:dyDescent="0.2">
      <c r="A92" s="79"/>
    </row>
    <row r="93" spans="1:1" ht="38.25" x14ac:dyDescent="0.2">
      <c r="A93" s="79" t="s">
        <v>159</v>
      </c>
    </row>
    <row r="94" spans="1:1" x14ac:dyDescent="0.2">
      <c r="A94" s="79"/>
    </row>
    <row r="95" spans="1:1" ht="51" x14ac:dyDescent="0.2">
      <c r="A95" s="79" t="s">
        <v>160</v>
      </c>
    </row>
    <row r="96" spans="1:1" x14ac:dyDescent="0.2">
      <c r="A96" s="79"/>
    </row>
    <row r="97" spans="1:1" ht="25.5" x14ac:dyDescent="0.2">
      <c r="A97" s="79" t="s">
        <v>161</v>
      </c>
    </row>
    <row r="98" spans="1:1" x14ac:dyDescent="0.2">
      <c r="A98" s="79"/>
    </row>
    <row r="99" spans="1:1" ht="25.5" x14ac:dyDescent="0.2">
      <c r="A99" s="4" t="s">
        <v>162</v>
      </c>
    </row>
    <row r="100" spans="1:1" x14ac:dyDescent="0.2">
      <c r="A100" s="2"/>
    </row>
    <row r="101" spans="1:1" ht="15" x14ac:dyDescent="0.25">
      <c r="A101" s="25" t="s">
        <v>98</v>
      </c>
    </row>
    <row r="102" spans="1:1" x14ac:dyDescent="0.2">
      <c r="A102" s="2"/>
    </row>
    <row r="103" spans="1:1" ht="38.25" x14ac:dyDescent="0.2">
      <c r="A103" s="2" t="s">
        <v>99</v>
      </c>
    </row>
    <row r="104" spans="1:1" x14ac:dyDescent="0.2">
      <c r="A104" s="2"/>
    </row>
    <row r="105" spans="1:1" ht="25.5" x14ac:dyDescent="0.2">
      <c r="A105" s="4" t="s">
        <v>100</v>
      </c>
    </row>
    <row r="106" spans="1:1" x14ac:dyDescent="0.2">
      <c r="A106" s="2"/>
    </row>
    <row r="107" spans="1:1" ht="25.5" x14ac:dyDescent="0.2">
      <c r="A107" s="4" t="s">
        <v>163</v>
      </c>
    </row>
    <row r="108" spans="1:1" x14ac:dyDescent="0.2">
      <c r="A108" s="2"/>
    </row>
    <row r="109" spans="1:1" ht="38.25" x14ac:dyDescent="0.2">
      <c r="A109" s="79" t="s">
        <v>105</v>
      </c>
    </row>
    <row r="110" spans="1:1" x14ac:dyDescent="0.2">
      <c r="A110" s="79"/>
    </row>
    <row r="111" spans="1:1" ht="25.5" x14ac:dyDescent="0.2">
      <c r="A111" s="2" t="s">
        <v>42</v>
      </c>
    </row>
    <row r="112" spans="1:1" x14ac:dyDescent="0.2">
      <c r="A112" s="2"/>
    </row>
    <row r="113" spans="1:1" ht="51" x14ac:dyDescent="0.2">
      <c r="A113" s="2" t="s">
        <v>101</v>
      </c>
    </row>
    <row r="114" spans="1:1" x14ac:dyDescent="0.2">
      <c r="A114" s="2"/>
    </row>
    <row r="115" spans="1:1" ht="15" x14ac:dyDescent="0.25">
      <c r="A115" s="25" t="s">
        <v>106</v>
      </c>
    </row>
    <row r="116" spans="1:1" x14ac:dyDescent="0.2">
      <c r="A116" s="2"/>
    </row>
    <row r="117" spans="1:1" ht="38.25" x14ac:dyDescent="0.2">
      <c r="A117" s="2" t="s">
        <v>107</v>
      </c>
    </row>
    <row r="118" spans="1:1" x14ac:dyDescent="0.2">
      <c r="A118" s="2"/>
    </row>
    <row r="119" spans="1:1" ht="25.5" x14ac:dyDescent="0.2">
      <c r="A119" s="4" t="s">
        <v>48</v>
      </c>
    </row>
    <row r="120" spans="1:1" x14ac:dyDescent="0.2">
      <c r="A120" s="2"/>
    </row>
    <row r="121" spans="1:1" ht="25.5" x14ac:dyDescent="0.2">
      <c r="A121" s="2" t="s">
        <v>108</v>
      </c>
    </row>
    <row r="122" spans="1:1" x14ac:dyDescent="0.2">
      <c r="A122" s="2"/>
    </row>
    <row r="123" spans="1:1" ht="25.5" x14ac:dyDescent="0.2">
      <c r="A123" s="4" t="s">
        <v>100</v>
      </c>
    </row>
    <row r="124" spans="1:1" x14ac:dyDescent="0.2">
      <c r="A124" s="2"/>
    </row>
    <row r="125" spans="1:1" ht="76.5" x14ac:dyDescent="0.2">
      <c r="A125" s="2" t="s">
        <v>109</v>
      </c>
    </row>
    <row r="126" spans="1:1" x14ac:dyDescent="0.2">
      <c r="A126" s="2"/>
    </row>
    <row r="127" spans="1:1" ht="63.75" x14ac:dyDescent="0.2">
      <c r="A127" s="4" t="s">
        <v>110</v>
      </c>
    </row>
    <row r="128" spans="1:1" x14ac:dyDescent="0.2">
      <c r="A128" s="2"/>
    </row>
    <row r="129" spans="1:1" ht="15" x14ac:dyDescent="0.25">
      <c r="A129" s="25" t="s">
        <v>49</v>
      </c>
    </row>
    <row r="130" spans="1:1" x14ac:dyDescent="0.2">
      <c r="A130" s="3"/>
    </row>
    <row r="131" spans="1:1" ht="63.75" x14ac:dyDescent="0.2">
      <c r="A131" s="79" t="s">
        <v>111</v>
      </c>
    </row>
    <row r="132" spans="1:1" x14ac:dyDescent="0.2">
      <c r="A132" s="79"/>
    </row>
    <row r="133" spans="1:1" ht="63.75" x14ac:dyDescent="0.2">
      <c r="A133" s="79" t="s">
        <v>164</v>
      </c>
    </row>
    <row r="134" spans="1:1" x14ac:dyDescent="0.2">
      <c r="A134" s="79"/>
    </row>
    <row r="135" spans="1:1" ht="38.25" x14ac:dyDescent="0.2">
      <c r="A135" s="79" t="s">
        <v>112</v>
      </c>
    </row>
    <row r="136" spans="1:1" x14ac:dyDescent="0.2">
      <c r="A136" s="79"/>
    </row>
    <row r="137" spans="1:1" ht="38.25" x14ac:dyDescent="0.2">
      <c r="A137" s="79" t="s">
        <v>113</v>
      </c>
    </row>
    <row r="138" spans="1:1" x14ac:dyDescent="0.2">
      <c r="A138" s="79"/>
    </row>
    <row r="139" spans="1:1" ht="63.75" x14ac:dyDescent="0.2">
      <c r="A139" s="4" t="s">
        <v>114</v>
      </c>
    </row>
    <row r="140" spans="1:1" x14ac:dyDescent="0.2">
      <c r="A140" s="79"/>
    </row>
    <row r="141" spans="1:1" ht="63.75" x14ac:dyDescent="0.2">
      <c r="A141" s="79" t="s">
        <v>115</v>
      </c>
    </row>
    <row r="142" spans="1:1" x14ac:dyDescent="0.2">
      <c r="A142" s="79"/>
    </row>
    <row r="143" spans="1:1" ht="51" x14ac:dyDescent="0.2">
      <c r="A143" s="4" t="s">
        <v>128</v>
      </c>
    </row>
    <row r="144" spans="1:1" x14ac:dyDescent="0.2">
      <c r="A144" s="83"/>
    </row>
    <row r="145" spans="1:1" ht="15" x14ac:dyDescent="0.25">
      <c r="A145" s="25" t="s">
        <v>116</v>
      </c>
    </row>
    <row r="146" spans="1:1" x14ac:dyDescent="0.2">
      <c r="A146" s="3"/>
    </row>
    <row r="147" spans="1:1" ht="63.75" x14ac:dyDescent="0.2">
      <c r="A147" s="79" t="s">
        <v>117</v>
      </c>
    </row>
    <row r="148" spans="1:1" x14ac:dyDescent="0.2">
      <c r="A148" s="79"/>
    </row>
    <row r="149" spans="1:1" x14ac:dyDescent="0.2">
      <c r="A149" s="4" t="s">
        <v>118</v>
      </c>
    </row>
    <row r="150" spans="1:1" x14ac:dyDescent="0.2">
      <c r="A150" s="3"/>
    </row>
    <row r="151" spans="1:1" ht="51" x14ac:dyDescent="0.2">
      <c r="A151" s="79" t="s">
        <v>119</v>
      </c>
    </row>
    <row r="152" spans="1:1" x14ac:dyDescent="0.2">
      <c r="A152" s="79"/>
    </row>
    <row r="153" spans="1:1" ht="38.25" x14ac:dyDescent="0.2">
      <c r="A153" s="4" t="s">
        <v>120</v>
      </c>
    </row>
    <row r="154" spans="1:1" x14ac:dyDescent="0.2">
      <c r="A154" s="4"/>
    </row>
    <row r="155" spans="1:1" ht="15" x14ac:dyDescent="0.25">
      <c r="A155" s="25" t="s">
        <v>29</v>
      </c>
    </row>
    <row r="156" spans="1:1" x14ac:dyDescent="0.2">
      <c r="A156" s="79"/>
    </row>
    <row r="157" spans="1:1" ht="38.25" x14ac:dyDescent="0.2">
      <c r="A157" s="79" t="s">
        <v>121</v>
      </c>
    </row>
    <row r="158" spans="1:1" x14ac:dyDescent="0.2">
      <c r="A158" s="79"/>
    </row>
    <row r="159" spans="1:1" ht="51" x14ac:dyDescent="0.2">
      <c r="A159" s="26" t="s">
        <v>122</v>
      </c>
    </row>
    <row r="160" spans="1:1" x14ac:dyDescent="0.2">
      <c r="A160" s="26"/>
    </row>
    <row r="161" spans="1:1" ht="38.25" x14ac:dyDescent="0.2">
      <c r="A161" s="79" t="s">
        <v>44</v>
      </c>
    </row>
    <row r="162" spans="1:1" x14ac:dyDescent="0.2">
      <c r="A162" s="79"/>
    </row>
    <row r="163" spans="1:1" ht="51" x14ac:dyDescent="0.2">
      <c r="A163" s="79" t="s">
        <v>123</v>
      </c>
    </row>
    <row r="164" spans="1:1" x14ac:dyDescent="0.2">
      <c r="A164" s="79"/>
    </row>
    <row r="165" spans="1:1" ht="76.5" x14ac:dyDescent="0.2">
      <c r="A165" s="79" t="s">
        <v>124</v>
      </c>
    </row>
    <row r="166" spans="1:1" x14ac:dyDescent="0.2">
      <c r="A166" s="79"/>
    </row>
    <row r="167" spans="1:1" ht="51" x14ac:dyDescent="0.2">
      <c r="A167" s="79" t="s">
        <v>125</v>
      </c>
    </row>
    <row r="168" spans="1:1" x14ac:dyDescent="0.2">
      <c r="A168" s="79"/>
    </row>
    <row r="169" spans="1:1" ht="38.25" x14ac:dyDescent="0.2">
      <c r="A169" s="4" t="s">
        <v>126</v>
      </c>
    </row>
    <row r="170" spans="1:1" x14ac:dyDescent="0.2">
      <c r="A170" s="79"/>
    </row>
    <row r="171" spans="1:1" ht="76.5" x14ac:dyDescent="0.2">
      <c r="A171" s="4" t="s">
        <v>127</v>
      </c>
    </row>
    <row r="172" spans="1:1" x14ac:dyDescent="0.2">
      <c r="A172" s="4"/>
    </row>
    <row r="173" spans="1:1" ht="15" x14ac:dyDescent="0.25">
      <c r="A173" s="27" t="s">
        <v>7</v>
      </c>
    </row>
    <row r="174" spans="1:1" x14ac:dyDescent="0.2">
      <c r="A174" s="2"/>
    </row>
    <row r="175" spans="1:1" ht="63.75" x14ac:dyDescent="0.2">
      <c r="A175" s="79" t="s">
        <v>132</v>
      </c>
    </row>
    <row r="177" spans="1:1" ht="15" x14ac:dyDescent="0.25">
      <c r="A177" s="80" t="s">
        <v>138</v>
      </c>
    </row>
    <row r="178" spans="1:1" ht="15" x14ac:dyDescent="0.25">
      <c r="A178" s="80"/>
    </row>
    <row r="179" spans="1:1" ht="89.25" x14ac:dyDescent="0.2">
      <c r="A179" s="81" t="s">
        <v>139</v>
      </c>
    </row>
  </sheetData>
  <sheetProtection algorithmName="SHA-512" hashValue="0E287HnPCUQmKbp/lt1Y5hMuZVfEeJzMeBlmSKFQ/Y27r7RgIVLn4l1lAQ4PoaQq6xG024LKwYb67rmQHloW/g==" saltValue="A6zW6J6Rz5Tg13B51jaVtA==" spinCount="100000" sheet="1" objects="1" scenarios="1" selectLockedCells="1"/>
  <phoneticPr fontId="5" type="noConversion"/>
  <hyperlinks>
    <hyperlink ref="A3" r:id="rId1" xr:uid="{00000000-0004-0000-0000-000000000000}"/>
  </hyperlinks>
  <pageMargins left="0.55118110236220474" right="0.55118110236220474" top="0.59055118110236227" bottom="0.59055118110236227" header="0.39370078740157483" footer="0.39370078740157483"/>
  <pageSetup paperSize="9" scale="92" fitToHeight="0" orientation="portrait" r:id="rId2"/>
  <headerFooter alignWithMargins="0">
    <oddFooter>Page &amp;P of &amp;N</oddFooter>
  </headerFooter>
  <rowBreaks count="6" manualBreakCount="6">
    <brk id="32" man="1"/>
    <brk id="62" max="16383" man="1"/>
    <brk id="90" max="16383" man="1"/>
    <brk id="124" man="1"/>
    <brk id="148" max="16383" man="1"/>
    <brk id="172"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767AE-A299-4929-986E-E9592F8093AE}">
  <dimension ref="A1:K20"/>
  <sheetViews>
    <sheetView topLeftCell="C1" workbookViewId="0">
      <selection activeCell="K7" sqref="K7"/>
    </sheetView>
  </sheetViews>
  <sheetFormatPr defaultRowHeight="15" x14ac:dyDescent="0.25"/>
  <cols>
    <col min="1" max="1" width="41.42578125" style="166" bestFit="1" customWidth="1"/>
    <col min="2" max="2" width="16.7109375" style="166" bestFit="1" customWidth="1"/>
    <col min="3" max="3" width="16.140625" style="166" bestFit="1" customWidth="1"/>
    <col min="4" max="4" width="21.5703125" style="166" bestFit="1" customWidth="1"/>
    <col min="5" max="5" width="14" style="166" bestFit="1" customWidth="1"/>
    <col min="6" max="6" width="9.140625" style="166"/>
    <col min="7" max="7" width="15.85546875" style="166" bestFit="1" customWidth="1"/>
    <col min="8" max="9" width="9.140625" style="166"/>
    <col min="10" max="10" width="23.140625" style="166" bestFit="1" customWidth="1"/>
    <col min="11" max="16384" width="9.140625" style="166"/>
  </cols>
  <sheetData>
    <row r="1" spans="1:11" x14ac:dyDescent="0.25">
      <c r="A1" s="166" t="s">
        <v>399</v>
      </c>
    </row>
    <row r="2" spans="1:11" x14ac:dyDescent="0.25">
      <c r="A2" s="166" t="s">
        <v>400</v>
      </c>
    </row>
    <row r="3" spans="1:11" x14ac:dyDescent="0.25">
      <c r="A3" s="166" t="s">
        <v>401</v>
      </c>
      <c r="B3" s="166" t="s">
        <v>402</v>
      </c>
      <c r="C3" s="167" t="s">
        <v>403</v>
      </c>
      <c r="D3" s="168" t="s">
        <v>404</v>
      </c>
      <c r="E3" s="169" t="s">
        <v>405</v>
      </c>
      <c r="F3" s="170" t="s">
        <v>406</v>
      </c>
      <c r="G3" s="166" t="s">
        <v>407</v>
      </c>
      <c r="H3" s="166" t="s">
        <v>408</v>
      </c>
      <c r="I3" s="166" t="s">
        <v>409</v>
      </c>
      <c r="J3" s="166" t="s">
        <v>410</v>
      </c>
      <c r="K3" s="166" t="s">
        <v>411</v>
      </c>
    </row>
    <row r="4" spans="1:11" x14ac:dyDescent="0.25">
      <c r="A4" s="166" t="s">
        <v>412</v>
      </c>
      <c r="B4" s="166" t="s">
        <v>413</v>
      </c>
      <c r="C4" s="171">
        <v>45844</v>
      </c>
      <c r="D4" s="172" t="s">
        <v>414</v>
      </c>
      <c r="E4" s="173" t="s">
        <v>415</v>
      </c>
      <c r="F4" s="170">
        <v>68</v>
      </c>
      <c r="J4" s="166" t="s">
        <v>416</v>
      </c>
      <c r="K4" s="166">
        <v>1749.3</v>
      </c>
    </row>
    <row r="5" spans="1:11" x14ac:dyDescent="0.25">
      <c r="A5" s="166" t="s">
        <v>412</v>
      </c>
      <c r="B5" s="166" t="s">
        <v>413</v>
      </c>
      <c r="C5" s="171">
        <v>45869</v>
      </c>
      <c r="D5" s="172" t="s">
        <v>417</v>
      </c>
      <c r="E5" s="173" t="s">
        <v>418</v>
      </c>
      <c r="F5" s="170">
        <v>-20</v>
      </c>
      <c r="G5" s="166" t="s">
        <v>419</v>
      </c>
      <c r="H5" s="166">
        <v>233255</v>
      </c>
      <c r="J5" s="166" t="s">
        <v>420</v>
      </c>
      <c r="K5" s="166">
        <v>1729.3</v>
      </c>
    </row>
    <row r="6" spans="1:11" x14ac:dyDescent="0.25">
      <c r="A6" s="166" t="s">
        <v>412</v>
      </c>
      <c r="B6" s="166" t="s">
        <v>413</v>
      </c>
      <c r="C6" s="171">
        <v>45873</v>
      </c>
      <c r="D6" s="172" t="s">
        <v>421</v>
      </c>
      <c r="E6" s="173" t="s">
        <v>422</v>
      </c>
      <c r="F6" s="170">
        <v>-237.91</v>
      </c>
      <c r="G6" s="166" t="s">
        <v>423</v>
      </c>
      <c r="H6" s="166" t="s">
        <v>424</v>
      </c>
      <c r="J6" s="166" t="s">
        <v>425</v>
      </c>
      <c r="K6" s="166">
        <v>1491.39</v>
      </c>
    </row>
    <row r="7" spans="1:11" x14ac:dyDescent="0.25">
      <c r="A7" s="166" t="s">
        <v>412</v>
      </c>
      <c r="B7" s="166" t="s">
        <v>413</v>
      </c>
      <c r="C7" s="171">
        <v>45881</v>
      </c>
      <c r="D7" s="172" t="s">
        <v>426</v>
      </c>
      <c r="E7" s="173" t="s">
        <v>169</v>
      </c>
      <c r="F7" s="170">
        <v>-80.849999999999994</v>
      </c>
      <c r="G7" s="166" t="s">
        <v>427</v>
      </c>
      <c r="H7" s="174">
        <v>48030</v>
      </c>
      <c r="J7" s="166" t="s">
        <v>428</v>
      </c>
      <c r="K7" s="166">
        <v>1410.54</v>
      </c>
    </row>
    <row r="8" spans="1:11" x14ac:dyDescent="0.25">
      <c r="A8" s="166" t="s">
        <v>412</v>
      </c>
      <c r="B8" s="166" t="s">
        <v>413</v>
      </c>
      <c r="C8" s="171">
        <v>45905</v>
      </c>
      <c r="D8" s="172" t="s">
        <v>429</v>
      </c>
      <c r="E8" s="173" t="s">
        <v>169</v>
      </c>
      <c r="F8" s="170">
        <v>-53.9</v>
      </c>
      <c r="G8" s="166" t="s">
        <v>429</v>
      </c>
      <c r="H8" s="166">
        <v>34190010904</v>
      </c>
      <c r="I8" s="166">
        <v>234130004002</v>
      </c>
      <c r="J8" s="166" t="s">
        <v>430</v>
      </c>
      <c r="K8" s="166">
        <v>1356.64</v>
      </c>
    </row>
    <row r="9" spans="1:11" x14ac:dyDescent="0.25">
      <c r="A9" s="166" t="s">
        <v>412</v>
      </c>
      <c r="B9" s="166" t="s">
        <v>413</v>
      </c>
      <c r="C9" s="171">
        <v>45911</v>
      </c>
      <c r="D9" s="172" t="s">
        <v>395</v>
      </c>
      <c r="E9" s="173" t="s">
        <v>415</v>
      </c>
      <c r="F9" s="170">
        <v>349</v>
      </c>
      <c r="G9" s="166" t="s">
        <v>431</v>
      </c>
      <c r="H9" s="166" t="s">
        <v>432</v>
      </c>
      <c r="I9" s="166" t="s">
        <v>433</v>
      </c>
      <c r="J9" s="166" t="s">
        <v>434</v>
      </c>
      <c r="K9" s="166">
        <v>1705.64</v>
      </c>
    </row>
    <row r="10" spans="1:11" x14ac:dyDescent="0.25">
      <c r="A10" s="166" t="s">
        <v>412</v>
      </c>
      <c r="B10" s="166" t="s">
        <v>413</v>
      </c>
      <c r="C10" s="171">
        <v>45912</v>
      </c>
      <c r="D10" s="172" t="s">
        <v>435</v>
      </c>
      <c r="E10" s="173" t="s">
        <v>415</v>
      </c>
      <c r="F10" s="170">
        <v>130</v>
      </c>
      <c r="G10" s="166" t="s">
        <v>436</v>
      </c>
      <c r="H10" s="166" t="s">
        <v>437</v>
      </c>
      <c r="I10" s="166" t="s">
        <v>435</v>
      </c>
      <c r="J10" s="166" t="s">
        <v>438</v>
      </c>
      <c r="K10" s="166">
        <v>1835.64</v>
      </c>
    </row>
    <row r="11" spans="1:11" x14ac:dyDescent="0.25">
      <c r="A11" s="166" t="s">
        <v>412</v>
      </c>
      <c r="B11" s="166" t="s">
        <v>413</v>
      </c>
      <c r="C11" s="171">
        <v>45913</v>
      </c>
      <c r="D11" s="172" t="s">
        <v>439</v>
      </c>
      <c r="E11" s="173" t="s">
        <v>415</v>
      </c>
      <c r="F11" s="170">
        <v>130</v>
      </c>
      <c r="G11" s="166" t="s">
        <v>440</v>
      </c>
      <c r="I11" s="166" t="s">
        <v>441</v>
      </c>
      <c r="J11" s="166" t="s">
        <v>442</v>
      </c>
      <c r="K11" s="166">
        <v>1965.64</v>
      </c>
    </row>
    <row r="12" spans="1:11" x14ac:dyDescent="0.25">
      <c r="A12" s="166" t="s">
        <v>412</v>
      </c>
      <c r="B12" s="166" t="s">
        <v>413</v>
      </c>
      <c r="C12" s="171">
        <v>45914</v>
      </c>
      <c r="D12" s="172" t="s">
        <v>443</v>
      </c>
      <c r="E12" s="173" t="s">
        <v>415</v>
      </c>
      <c r="F12" s="170">
        <v>130</v>
      </c>
      <c r="G12" s="166" t="s">
        <v>444</v>
      </c>
      <c r="I12" s="166" t="s">
        <v>444</v>
      </c>
      <c r="J12" s="166" t="s">
        <v>445</v>
      </c>
      <c r="K12" s="166">
        <v>2095.64</v>
      </c>
    </row>
    <row r="13" spans="1:11" x14ac:dyDescent="0.25">
      <c r="A13" s="166" t="s">
        <v>412</v>
      </c>
      <c r="B13" s="166" t="s">
        <v>413</v>
      </c>
      <c r="C13" s="171">
        <v>45914</v>
      </c>
      <c r="D13" s="172" t="s">
        <v>446</v>
      </c>
      <c r="E13" s="173" t="s">
        <v>415</v>
      </c>
      <c r="F13" s="170">
        <v>130</v>
      </c>
      <c r="J13" s="166" t="s">
        <v>416</v>
      </c>
      <c r="K13" s="166">
        <v>2225.64</v>
      </c>
    </row>
    <row r="14" spans="1:11" x14ac:dyDescent="0.25">
      <c r="A14" s="166" t="s">
        <v>412</v>
      </c>
      <c r="B14" s="166" t="s">
        <v>413</v>
      </c>
      <c r="C14" s="171">
        <v>45918</v>
      </c>
      <c r="D14" s="172" t="s">
        <v>447</v>
      </c>
      <c r="E14" s="173" t="s">
        <v>415</v>
      </c>
      <c r="F14" s="170">
        <v>130</v>
      </c>
      <c r="G14" s="166" t="s">
        <v>447</v>
      </c>
      <c r="H14" s="166" t="s">
        <v>448</v>
      </c>
      <c r="I14" s="166" t="s">
        <v>449</v>
      </c>
      <c r="J14" s="166" t="s">
        <v>450</v>
      </c>
      <c r="K14" s="166">
        <v>2355.64</v>
      </c>
    </row>
    <row r="15" spans="1:11" x14ac:dyDescent="0.25">
      <c r="A15" s="166" t="s">
        <v>412</v>
      </c>
      <c r="B15" s="166" t="s">
        <v>413</v>
      </c>
      <c r="C15" s="171">
        <v>45918</v>
      </c>
      <c r="D15" s="172" t="s">
        <v>451</v>
      </c>
      <c r="E15" s="173" t="s">
        <v>415</v>
      </c>
      <c r="F15" s="170">
        <v>130</v>
      </c>
      <c r="G15" s="166" t="s">
        <v>451</v>
      </c>
      <c r="H15" s="166" t="s">
        <v>452</v>
      </c>
      <c r="J15" s="166" t="s">
        <v>453</v>
      </c>
      <c r="K15" s="166">
        <v>2485.64</v>
      </c>
    </row>
    <row r="16" spans="1:11" x14ac:dyDescent="0.25">
      <c r="A16" s="166" t="s">
        <v>412</v>
      </c>
      <c r="B16" s="166" t="s">
        <v>413</v>
      </c>
      <c r="C16" s="171">
        <v>45919</v>
      </c>
      <c r="D16" s="172" t="s">
        <v>454</v>
      </c>
      <c r="E16" s="173" t="s">
        <v>415</v>
      </c>
      <c r="F16" s="170">
        <v>130</v>
      </c>
      <c r="G16" s="166" t="s">
        <v>455</v>
      </c>
      <c r="H16" s="166" t="s">
        <v>456</v>
      </c>
      <c r="I16" s="166" t="s">
        <v>457</v>
      </c>
      <c r="J16" s="166" t="s">
        <v>458</v>
      </c>
      <c r="K16" s="166">
        <v>2615.64</v>
      </c>
    </row>
    <row r="17" spans="1:11" x14ac:dyDescent="0.25">
      <c r="A17" s="166" t="s">
        <v>412</v>
      </c>
      <c r="B17" s="166" t="s">
        <v>413</v>
      </c>
      <c r="C17" s="171">
        <v>45922</v>
      </c>
      <c r="D17" s="172" t="s">
        <v>459</v>
      </c>
      <c r="E17" s="173" t="s">
        <v>415</v>
      </c>
      <c r="F17" s="170">
        <v>130</v>
      </c>
      <c r="J17" s="166" t="s">
        <v>460</v>
      </c>
      <c r="K17" s="166">
        <v>2745.64</v>
      </c>
    </row>
    <row r="18" spans="1:11" x14ac:dyDescent="0.25">
      <c r="A18" s="166" t="s">
        <v>412</v>
      </c>
      <c r="B18" s="166" t="s">
        <v>413</v>
      </c>
      <c r="C18" s="171">
        <v>45923</v>
      </c>
      <c r="D18" s="172" t="s">
        <v>461</v>
      </c>
      <c r="E18" s="173" t="s">
        <v>415</v>
      </c>
      <c r="F18" s="170">
        <v>260</v>
      </c>
      <c r="G18" s="166" t="s">
        <v>462</v>
      </c>
      <c r="H18" s="166" t="s">
        <v>463</v>
      </c>
      <c r="I18" s="166" t="s">
        <v>464</v>
      </c>
      <c r="J18" s="166" t="s">
        <v>465</v>
      </c>
      <c r="K18" s="166">
        <v>3005.64</v>
      </c>
    </row>
    <row r="19" spans="1:11" x14ac:dyDescent="0.25">
      <c r="A19" s="166" t="s">
        <v>412</v>
      </c>
      <c r="B19" s="166" t="s">
        <v>413</v>
      </c>
      <c r="C19" s="171">
        <v>45923</v>
      </c>
      <c r="D19" s="172" t="s">
        <v>234</v>
      </c>
      <c r="E19" s="173" t="s">
        <v>415</v>
      </c>
      <c r="F19" s="170">
        <v>130</v>
      </c>
      <c r="G19" s="166" t="s">
        <v>466</v>
      </c>
      <c r="H19" s="166" t="s">
        <v>467</v>
      </c>
      <c r="J19" s="166" t="s">
        <v>468</v>
      </c>
      <c r="K19" s="166">
        <v>3135.64</v>
      </c>
    </row>
    <row r="20" spans="1:11" x14ac:dyDescent="0.25">
      <c r="A20" s="166" t="s">
        <v>412</v>
      </c>
      <c r="B20" s="166" t="s">
        <v>413</v>
      </c>
      <c r="C20" s="171">
        <v>45924</v>
      </c>
      <c r="D20" s="172" t="s">
        <v>469</v>
      </c>
      <c r="E20" s="173" t="s">
        <v>415</v>
      </c>
      <c r="F20" s="170">
        <v>130</v>
      </c>
      <c r="G20" s="166" t="s">
        <v>470</v>
      </c>
      <c r="H20" s="166" t="s">
        <v>471</v>
      </c>
      <c r="J20" s="166" t="s">
        <v>472</v>
      </c>
      <c r="K20" s="166">
        <v>3265.64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6ED8D-35C1-490E-A5F9-49A2B54FDA0F}">
  <dimension ref="B2:T34"/>
  <sheetViews>
    <sheetView topLeftCell="A15" zoomScale="95" workbookViewId="0">
      <selection activeCell="O34" sqref="O34"/>
    </sheetView>
  </sheetViews>
  <sheetFormatPr defaultRowHeight="12.75" x14ac:dyDescent="0.2"/>
  <cols>
    <col min="1" max="1" width="5.42578125" customWidth="1"/>
    <col min="2" max="2" width="28.42578125" bestFit="1" customWidth="1"/>
    <col min="3" max="6" width="9.28515625" bestFit="1" customWidth="1"/>
    <col min="7" max="7" width="8.5703125" bestFit="1" customWidth="1"/>
    <col min="8" max="8" width="9.28515625" customWidth="1"/>
    <col min="9" max="9" width="15.28515625" customWidth="1"/>
    <col min="10" max="10" width="11" customWidth="1"/>
    <col min="11" max="11" width="8.28515625" customWidth="1"/>
    <col min="12" max="12" width="9.28515625" bestFit="1" customWidth="1"/>
    <col min="13" max="13" width="9.28515625" customWidth="1"/>
    <col min="14" max="14" width="12" customWidth="1"/>
    <col min="15" max="15" width="11.5703125" customWidth="1"/>
  </cols>
  <sheetData>
    <row r="2" spans="2:16" x14ac:dyDescent="0.2">
      <c r="G2">
        <v>0.5998</v>
      </c>
    </row>
    <row r="3" spans="2:16" x14ac:dyDescent="0.2">
      <c r="B3" t="str">
        <f>Assumptions!$B$4</f>
        <v>TALK Toastmasters Manurewa</v>
      </c>
      <c r="C3" s="100"/>
      <c r="D3" s="100"/>
      <c r="E3" s="100"/>
      <c r="F3" s="100"/>
      <c r="G3">
        <v>0.58309999999999995</v>
      </c>
      <c r="H3" s="192" t="s">
        <v>377</v>
      </c>
      <c r="I3" s="189"/>
    </row>
    <row r="4" spans="2:16" x14ac:dyDescent="0.2">
      <c r="B4" t="s">
        <v>52</v>
      </c>
      <c r="C4" s="100"/>
      <c r="D4" s="100"/>
      <c r="E4" s="100"/>
      <c r="F4" s="100"/>
      <c r="G4">
        <v>0.56999999999999995</v>
      </c>
      <c r="H4" s="192" t="s">
        <v>378</v>
      </c>
      <c r="I4" s="189"/>
    </row>
    <row r="5" spans="2:16" x14ac:dyDescent="0.2">
      <c r="C5" s="100"/>
      <c r="D5" s="100"/>
      <c r="E5" s="100"/>
      <c r="F5" s="100"/>
      <c r="G5">
        <v>26.95</v>
      </c>
      <c r="H5" t="s">
        <v>302</v>
      </c>
    </row>
    <row r="6" spans="2:16" x14ac:dyDescent="0.2">
      <c r="C6" s="100"/>
      <c r="D6" s="100"/>
      <c r="E6" s="100"/>
      <c r="F6" s="100"/>
      <c r="G6">
        <v>26.95</v>
      </c>
      <c r="H6" t="s">
        <v>372</v>
      </c>
    </row>
    <row r="7" spans="2:16" x14ac:dyDescent="0.2">
      <c r="C7" s="100"/>
      <c r="D7" s="100"/>
      <c r="E7" s="100"/>
      <c r="F7" s="100"/>
      <c r="G7">
        <v>10</v>
      </c>
      <c r="H7" s="189" t="s">
        <v>178</v>
      </c>
      <c r="I7" s="189"/>
      <c r="J7" s="189"/>
      <c r="K7" s="189"/>
      <c r="L7" s="189"/>
    </row>
    <row r="8" spans="2:16" x14ac:dyDescent="0.2">
      <c r="C8" s="100"/>
      <c r="D8" s="100"/>
      <c r="E8" s="100"/>
      <c r="F8" s="100"/>
      <c r="G8">
        <v>45</v>
      </c>
      <c r="H8" s="89" t="s">
        <v>311</v>
      </c>
      <c r="I8" s="102"/>
      <c r="J8" s="102"/>
      <c r="K8" s="102"/>
      <c r="L8" s="102"/>
    </row>
    <row r="9" spans="2:16" x14ac:dyDescent="0.2">
      <c r="C9" s="100"/>
      <c r="D9" s="100"/>
      <c r="E9" s="100"/>
      <c r="F9" s="100"/>
      <c r="G9">
        <v>130</v>
      </c>
      <c r="H9" s="107" t="s">
        <v>310</v>
      </c>
      <c r="I9" s="102"/>
      <c r="J9" s="102"/>
      <c r="K9" s="102"/>
      <c r="L9" s="102"/>
    </row>
    <row r="10" spans="2:16" x14ac:dyDescent="0.2">
      <c r="C10" s="100"/>
      <c r="D10" s="100"/>
      <c r="E10" s="100"/>
      <c r="F10" s="100"/>
      <c r="G10">
        <v>60</v>
      </c>
      <c r="H10" s="106" t="s">
        <v>312</v>
      </c>
      <c r="I10" s="102"/>
      <c r="J10" s="102"/>
      <c r="K10" s="102"/>
      <c r="L10" s="102"/>
    </row>
    <row r="11" spans="2:16" x14ac:dyDescent="0.2">
      <c r="C11" s="100"/>
      <c r="D11" s="100"/>
      <c r="E11" s="100"/>
      <c r="F11" s="100"/>
    </row>
    <row r="12" spans="2:16" x14ac:dyDescent="0.2">
      <c r="B12" s="89" t="s">
        <v>24</v>
      </c>
      <c r="C12" s="142">
        <v>1681.3</v>
      </c>
      <c r="D12" s="142">
        <f t="shared" ref="D12:O12" si="0">C29</f>
        <v>1607.3999999999999</v>
      </c>
      <c r="E12" s="142">
        <f t="shared" si="0"/>
        <v>1609.7533956439718</v>
      </c>
      <c r="F12" s="142">
        <f t="shared" si="0"/>
        <v>2043.3999990000009</v>
      </c>
      <c r="G12" s="142">
        <f>F29</f>
        <v>1969.4999990000008</v>
      </c>
      <c r="H12" s="142">
        <f t="shared" si="0"/>
        <v>1895.5999990000007</v>
      </c>
      <c r="I12" s="142">
        <f t="shared" si="0"/>
        <v>1821.6999990000006</v>
      </c>
      <c r="J12" s="142">
        <f t="shared" si="0"/>
        <v>1747.7999990000005</v>
      </c>
      <c r="K12" s="142">
        <f>J29</f>
        <v>1673.8999990000004</v>
      </c>
      <c r="L12" s="136">
        <f>J29</f>
        <v>1673.8999990000004</v>
      </c>
      <c r="M12" s="136">
        <f>L29</f>
        <v>1946.3157884736843</v>
      </c>
      <c r="N12" s="136">
        <f t="shared" si="0"/>
        <v>1872.4157884736842</v>
      </c>
      <c r="O12" s="136">
        <f t="shared" si="0"/>
        <v>1798.5157884736841</v>
      </c>
      <c r="P12" s="137"/>
    </row>
    <row r="13" spans="2:16" s="101" customFormat="1" x14ac:dyDescent="0.2">
      <c r="C13" s="143">
        <v>45839</v>
      </c>
      <c r="D13" s="143">
        <v>45870</v>
      </c>
      <c r="E13" s="143">
        <v>45901</v>
      </c>
      <c r="F13" s="143">
        <v>45931</v>
      </c>
      <c r="G13" s="143">
        <v>45962</v>
      </c>
      <c r="H13" s="143">
        <v>45992</v>
      </c>
      <c r="I13" s="143">
        <v>46023</v>
      </c>
      <c r="J13" s="143">
        <v>46054</v>
      </c>
      <c r="K13" s="143">
        <v>46082</v>
      </c>
      <c r="L13" s="138">
        <v>46082</v>
      </c>
      <c r="M13" s="138">
        <v>46113</v>
      </c>
      <c r="N13" s="138">
        <v>46143</v>
      </c>
      <c r="O13" s="138">
        <v>46174</v>
      </c>
      <c r="P13" s="139" t="s">
        <v>306</v>
      </c>
    </row>
    <row r="14" spans="2:16" x14ac:dyDescent="0.2">
      <c r="B14" s="48" t="s">
        <v>165</v>
      </c>
      <c r="C14" s="144"/>
      <c r="D14" s="144">
        <f>44+(G9*2)</f>
        <v>304</v>
      </c>
      <c r="E14" s="144">
        <v>1690</v>
      </c>
      <c r="F14" s="144"/>
      <c r="G14" s="144"/>
      <c r="H14" s="144"/>
      <c r="I14" s="144"/>
      <c r="J14" s="144"/>
      <c r="K14" s="144"/>
      <c r="L14" s="137">
        <f>Membership!A16*'"Forecast'!G9</f>
        <v>1820</v>
      </c>
      <c r="M14" s="137"/>
      <c r="N14" s="137"/>
      <c r="O14" s="137"/>
      <c r="P14" s="137"/>
    </row>
    <row r="15" spans="2:16" x14ac:dyDescent="0.2">
      <c r="B15" s="48" t="s">
        <v>171</v>
      </c>
      <c r="C15" s="144"/>
      <c r="D15" s="144">
        <f>G8</f>
        <v>45</v>
      </c>
      <c r="E15" s="144"/>
      <c r="F15" s="144"/>
      <c r="G15" s="144"/>
      <c r="H15" s="144"/>
      <c r="I15" s="144"/>
      <c r="J15" s="144"/>
      <c r="K15" s="144"/>
      <c r="L15" s="137"/>
      <c r="M15" s="137"/>
      <c r="N15" s="137"/>
      <c r="O15" s="137"/>
      <c r="P15" s="137"/>
    </row>
    <row r="16" spans="2:16" x14ac:dyDescent="0.2">
      <c r="C16" s="144"/>
      <c r="D16" s="144"/>
      <c r="E16" s="144"/>
      <c r="F16" s="144"/>
      <c r="G16" s="144"/>
      <c r="H16" s="144"/>
      <c r="I16" s="144"/>
      <c r="J16" s="144"/>
      <c r="K16" s="144"/>
      <c r="L16" s="137"/>
      <c r="M16" s="137"/>
      <c r="N16" s="137"/>
      <c r="O16" s="137"/>
      <c r="P16" s="137"/>
    </row>
    <row r="17" spans="2:20" x14ac:dyDescent="0.2">
      <c r="C17" s="144"/>
      <c r="D17" s="144"/>
      <c r="E17" s="144"/>
      <c r="F17" s="144"/>
      <c r="G17" s="144"/>
      <c r="H17" s="144"/>
      <c r="I17" s="144"/>
      <c r="J17" s="144"/>
      <c r="K17" s="144"/>
      <c r="L17" s="137"/>
      <c r="M17" s="137"/>
      <c r="N17" s="137"/>
      <c r="O17" s="137"/>
      <c r="P17" s="137"/>
    </row>
    <row r="18" spans="2:20" x14ac:dyDescent="0.2">
      <c r="B18" s="89" t="s">
        <v>304</v>
      </c>
      <c r="C18" s="145">
        <f>SUM(C14:C15)</f>
        <v>0</v>
      </c>
      <c r="D18" s="145">
        <f t="shared" ref="D18:O18" si="1">SUM(D14:D15)</f>
        <v>349</v>
      </c>
      <c r="E18" s="145">
        <v>1845.2245316702119</v>
      </c>
      <c r="F18" s="145">
        <v>0</v>
      </c>
      <c r="G18" s="145">
        <v>0</v>
      </c>
      <c r="H18" s="145">
        <v>0</v>
      </c>
      <c r="I18" s="145">
        <v>0</v>
      </c>
      <c r="J18" s="145">
        <v>0</v>
      </c>
      <c r="K18" s="145">
        <v>0</v>
      </c>
      <c r="L18" s="140">
        <f t="shared" si="1"/>
        <v>1820</v>
      </c>
      <c r="M18" s="140">
        <f t="shared" si="1"/>
        <v>0</v>
      </c>
      <c r="N18" s="140">
        <f t="shared" si="1"/>
        <v>0</v>
      </c>
      <c r="O18" s="140">
        <f t="shared" si="1"/>
        <v>0</v>
      </c>
      <c r="P18" s="140" cm="1">
        <f t="array" ref="P18:T19">P14:T15</f>
        <v>0</v>
      </c>
      <c r="Q18">
        <v>0</v>
      </c>
      <c r="R18">
        <v>0</v>
      </c>
      <c r="S18">
        <v>0</v>
      </c>
      <c r="T18">
        <v>0</v>
      </c>
    </row>
    <row r="19" spans="2:20" x14ac:dyDescent="0.2">
      <c r="C19" s="144"/>
      <c r="D19" s="144"/>
      <c r="E19" s="144"/>
      <c r="F19" s="144"/>
      <c r="G19" s="144"/>
      <c r="H19" s="144"/>
      <c r="I19" s="144"/>
      <c r="J19" s="144"/>
      <c r="K19" s="144"/>
      <c r="L19" s="137"/>
      <c r="M19" s="137"/>
      <c r="N19" s="137"/>
      <c r="O19" s="137"/>
      <c r="P19" s="137">
        <v>0</v>
      </c>
      <c r="Q19">
        <v>0</v>
      </c>
      <c r="R19">
        <v>0</v>
      </c>
      <c r="S19">
        <v>0</v>
      </c>
      <c r="T19">
        <v>0</v>
      </c>
    </row>
    <row r="20" spans="2:20" x14ac:dyDescent="0.2">
      <c r="B20" s="37" t="s">
        <v>32</v>
      </c>
      <c r="C20" s="144"/>
      <c r="D20" s="144"/>
      <c r="E20" s="144"/>
      <c r="F20" s="144"/>
      <c r="G20" s="144"/>
      <c r="H20" s="144"/>
      <c r="I20" s="144"/>
      <c r="J20" s="144"/>
      <c r="K20" s="144"/>
      <c r="L20" s="137"/>
      <c r="M20" s="137"/>
      <c r="N20" s="137"/>
      <c r="O20" s="137"/>
      <c r="P20" s="137"/>
    </row>
    <row r="21" spans="2:20" x14ac:dyDescent="0.2">
      <c r="B21" s="22" t="s">
        <v>174</v>
      </c>
      <c r="C21" s="145">
        <v>0</v>
      </c>
      <c r="D21" s="145">
        <f>-(10*2)-(G10*2)/G3</f>
        <v>-225.79660435602815</v>
      </c>
      <c r="E21" s="145">
        <f>-(G10/G3)*13</f>
        <v>-1337.677928314183</v>
      </c>
      <c r="F21" s="145">
        <v>0</v>
      </c>
      <c r="G21" s="145">
        <v>0</v>
      </c>
      <c r="H21" s="145">
        <v>0</v>
      </c>
      <c r="I21" s="145">
        <v>0</v>
      </c>
      <c r="J21" s="145">
        <v>0</v>
      </c>
      <c r="K21" s="145"/>
      <c r="L21" s="140">
        <f>-(G10/G4)*Membership!A16</f>
        <v>-1473.6842105263158</v>
      </c>
      <c r="M21" s="140">
        <v>0</v>
      </c>
      <c r="N21" s="140">
        <v>0</v>
      </c>
      <c r="O21" s="140">
        <v>0</v>
      </c>
      <c r="P21" s="140">
        <v>0</v>
      </c>
    </row>
    <row r="22" spans="2:20" x14ac:dyDescent="0.2">
      <c r="B22" s="22" t="s">
        <v>168</v>
      </c>
      <c r="C22" s="145">
        <f>-G7*2</f>
        <v>-20</v>
      </c>
      <c r="D22" s="145">
        <f>-G7*2</f>
        <v>-20</v>
      </c>
      <c r="E22" s="145">
        <f>-G7*2</f>
        <v>-20</v>
      </c>
      <c r="F22" s="145">
        <f>-G7*2</f>
        <v>-20</v>
      </c>
      <c r="G22" s="145">
        <f>-G7*2</f>
        <v>-20</v>
      </c>
      <c r="H22" s="145">
        <f>-G7*2</f>
        <v>-20</v>
      </c>
      <c r="I22" s="145">
        <f>-G7*2</f>
        <v>-20</v>
      </c>
      <c r="J22" s="145">
        <f>-G7*2</f>
        <v>-20</v>
      </c>
      <c r="K22" s="145">
        <f>-G7*2</f>
        <v>-20</v>
      </c>
      <c r="L22" s="140">
        <f>-G7*2</f>
        <v>-20</v>
      </c>
      <c r="M22" s="140">
        <f>-G7*2</f>
        <v>-20</v>
      </c>
      <c r="N22" s="140">
        <f>-G7*2</f>
        <v>-20</v>
      </c>
      <c r="O22" s="140">
        <f>-G7*2</f>
        <v>-20</v>
      </c>
      <c r="P22" s="140">
        <f>SUM(C22:O22)</f>
        <v>-260</v>
      </c>
    </row>
    <row r="23" spans="2:20" x14ac:dyDescent="0.2">
      <c r="B23" s="22" t="s">
        <v>3</v>
      </c>
      <c r="C23" s="145">
        <v>0</v>
      </c>
      <c r="D23" s="145">
        <v>0</v>
      </c>
      <c r="E23" s="145">
        <v>0</v>
      </c>
      <c r="F23" s="145">
        <v>0</v>
      </c>
      <c r="G23" s="145">
        <v>0</v>
      </c>
      <c r="H23" s="145">
        <v>0</v>
      </c>
      <c r="I23" s="145">
        <v>0</v>
      </c>
      <c r="J23" s="145">
        <v>0</v>
      </c>
      <c r="K23" s="145"/>
      <c r="L23" s="140">
        <v>0</v>
      </c>
      <c r="M23" s="140">
        <v>0</v>
      </c>
      <c r="N23" s="140">
        <v>0</v>
      </c>
      <c r="O23" s="140">
        <v>0</v>
      </c>
      <c r="P23" s="140"/>
    </row>
    <row r="24" spans="2:20" x14ac:dyDescent="0.2">
      <c r="B24" s="22" t="s">
        <v>169</v>
      </c>
      <c r="C24" s="145">
        <f>-$G$5*2</f>
        <v>-53.9</v>
      </c>
      <c r="D24" s="145">
        <f>-$G$5*3</f>
        <v>-80.849999999999994</v>
      </c>
      <c r="E24" s="145">
        <f t="shared" ref="E24:O24" si="2">-$G$5*2</f>
        <v>-53.9</v>
      </c>
      <c r="F24" s="145">
        <f t="shared" si="2"/>
        <v>-53.9</v>
      </c>
      <c r="G24" s="145">
        <f>-$G$6*2</f>
        <v>-53.9</v>
      </c>
      <c r="H24" s="145">
        <f t="shared" ref="H24:L24" si="3">-$G$6*2</f>
        <v>-53.9</v>
      </c>
      <c r="I24" s="145">
        <f t="shared" si="3"/>
        <v>-53.9</v>
      </c>
      <c r="J24" s="145">
        <f t="shared" si="3"/>
        <v>-53.9</v>
      </c>
      <c r="K24" s="145">
        <f>-G6*2</f>
        <v>-53.9</v>
      </c>
      <c r="L24" s="140">
        <f t="shared" si="3"/>
        <v>-53.9</v>
      </c>
      <c r="M24" s="140">
        <f t="shared" si="2"/>
        <v>-53.9</v>
      </c>
      <c r="N24" s="140">
        <f t="shared" si="2"/>
        <v>-53.9</v>
      </c>
      <c r="O24" s="140">
        <f t="shared" si="2"/>
        <v>-53.9</v>
      </c>
      <c r="P24" s="140"/>
    </row>
    <row r="25" spans="2:20" x14ac:dyDescent="0.2">
      <c r="B25" s="22" t="s">
        <v>175</v>
      </c>
      <c r="C25" s="145">
        <v>0</v>
      </c>
      <c r="D25" s="145">
        <v>0</v>
      </c>
      <c r="E25" s="145">
        <v>0</v>
      </c>
      <c r="F25" s="145">
        <v>0</v>
      </c>
      <c r="G25" s="145">
        <v>0</v>
      </c>
      <c r="H25" s="145">
        <v>0</v>
      </c>
      <c r="I25" s="145">
        <v>0</v>
      </c>
      <c r="J25" s="145">
        <v>0</v>
      </c>
      <c r="K25" s="145">
        <v>0</v>
      </c>
      <c r="L25" s="140">
        <v>0</v>
      </c>
      <c r="M25" s="140">
        <v>0</v>
      </c>
      <c r="N25" s="140">
        <v>0</v>
      </c>
      <c r="O25" s="140">
        <v>0</v>
      </c>
      <c r="P25" s="140"/>
    </row>
    <row r="26" spans="2:20" x14ac:dyDescent="0.2">
      <c r="B26" s="22" t="s">
        <v>4</v>
      </c>
      <c r="C26" s="145">
        <v>0</v>
      </c>
      <c r="D26" s="145">
        <f>-20</f>
        <v>-20</v>
      </c>
      <c r="E26" s="145">
        <v>0</v>
      </c>
      <c r="F26" s="145">
        <v>0</v>
      </c>
      <c r="G26" s="145">
        <v>0</v>
      </c>
      <c r="H26" s="145">
        <v>0</v>
      </c>
      <c r="I26" s="145">
        <v>0</v>
      </c>
      <c r="J26" s="145">
        <v>0</v>
      </c>
      <c r="K26" s="145">
        <v>0</v>
      </c>
      <c r="L26" s="140">
        <v>0</v>
      </c>
      <c r="M26" s="140">
        <v>0</v>
      </c>
      <c r="N26" s="140">
        <v>0</v>
      </c>
      <c r="O26" s="140">
        <v>0</v>
      </c>
      <c r="P26" s="140"/>
    </row>
    <row r="27" spans="2:20" x14ac:dyDescent="0.2">
      <c r="B27" s="37" t="s">
        <v>36</v>
      </c>
      <c r="C27" s="145">
        <f>SUM(C21:C26)</f>
        <v>-73.900000000000006</v>
      </c>
      <c r="D27" s="145">
        <f t="shared" ref="D27:P27" si="4">SUM(D21:D26)</f>
        <v>-346.64660435602815</v>
      </c>
      <c r="E27" s="145">
        <f t="shared" si="4"/>
        <v>-1411.5779283141831</v>
      </c>
      <c r="F27" s="145">
        <f t="shared" si="4"/>
        <v>-73.900000000000006</v>
      </c>
      <c r="G27" s="145">
        <f t="shared" si="4"/>
        <v>-73.900000000000006</v>
      </c>
      <c r="H27" s="145">
        <f t="shared" si="4"/>
        <v>-73.900000000000006</v>
      </c>
      <c r="I27" s="145">
        <f t="shared" si="4"/>
        <v>-73.900000000000006</v>
      </c>
      <c r="J27" s="145">
        <f t="shared" si="4"/>
        <v>-73.900000000000006</v>
      </c>
      <c r="K27" s="145">
        <f t="shared" si="4"/>
        <v>-73.900000000000006</v>
      </c>
      <c r="L27" s="140">
        <f>SUM(L21:L26)</f>
        <v>-1547.5842105263159</v>
      </c>
      <c r="M27" s="140">
        <f t="shared" si="4"/>
        <v>-73.900000000000006</v>
      </c>
      <c r="N27" s="140">
        <f t="shared" si="4"/>
        <v>-73.900000000000006</v>
      </c>
      <c r="O27" s="140">
        <f t="shared" si="4"/>
        <v>-73.900000000000006</v>
      </c>
      <c r="P27" s="140">
        <f t="shared" si="4"/>
        <v>-260</v>
      </c>
    </row>
    <row r="28" spans="2:20" x14ac:dyDescent="0.2">
      <c r="C28" s="144"/>
      <c r="D28" s="144"/>
      <c r="E28" s="144"/>
      <c r="F28" s="144"/>
      <c r="G28" s="144"/>
      <c r="H28" s="144"/>
      <c r="I28" s="144"/>
      <c r="J28" s="144"/>
      <c r="K28" s="144"/>
      <c r="L28" s="137"/>
      <c r="M28" s="137"/>
      <c r="N28" s="137"/>
      <c r="O28" s="137"/>
      <c r="P28" s="137"/>
    </row>
    <row r="29" spans="2:20" x14ac:dyDescent="0.2">
      <c r="B29" s="48" t="s">
        <v>307</v>
      </c>
      <c r="C29" s="146">
        <f>C12+C18+C27</f>
        <v>1607.3999999999999</v>
      </c>
      <c r="D29" s="146">
        <f>D12+D18+D27</f>
        <v>1609.7533956439718</v>
      </c>
      <c r="E29" s="146">
        <f>E12+E18+E27</f>
        <v>2043.3999990000009</v>
      </c>
      <c r="F29" s="146">
        <f t="shared" ref="F29:K29" si="5">F12+F18+F27</f>
        <v>1969.4999990000008</v>
      </c>
      <c r="G29" s="146">
        <f t="shared" si="5"/>
        <v>1895.5999990000007</v>
      </c>
      <c r="H29" s="146">
        <f t="shared" si="5"/>
        <v>1821.6999990000006</v>
      </c>
      <c r="I29" s="146">
        <f t="shared" si="5"/>
        <v>1747.7999990000005</v>
      </c>
      <c r="J29" s="146">
        <f t="shared" si="5"/>
        <v>1673.8999990000004</v>
      </c>
      <c r="K29" s="146">
        <f t="shared" si="5"/>
        <v>1599.9999990000003</v>
      </c>
      <c r="L29" s="141">
        <f t="shared" ref="L29:O29" si="6">L12+L18+L27</f>
        <v>1946.3157884736843</v>
      </c>
      <c r="M29" s="141">
        <f t="shared" si="6"/>
        <v>1872.4157884736842</v>
      </c>
      <c r="N29" s="141">
        <f t="shared" si="6"/>
        <v>1798.5157884736841</v>
      </c>
      <c r="O29" s="141">
        <f t="shared" si="6"/>
        <v>1724.615788473684</v>
      </c>
      <c r="P29" s="141"/>
    </row>
    <row r="31" spans="2:20" ht="38.25" x14ac:dyDescent="0.2">
      <c r="I31" s="193" t="s">
        <v>375</v>
      </c>
      <c r="J31" s="193"/>
      <c r="K31" s="193"/>
      <c r="L31" s="147" t="s">
        <v>379</v>
      </c>
      <c r="M31" s="147" t="s">
        <v>380</v>
      </c>
      <c r="N31" s="147" t="s">
        <v>381</v>
      </c>
      <c r="O31" s="147" t="s">
        <v>382</v>
      </c>
    </row>
    <row r="32" spans="2:20" x14ac:dyDescent="0.2">
      <c r="H32" t="s">
        <v>373</v>
      </c>
      <c r="I32" s="105">
        <v>11383</v>
      </c>
      <c r="J32" t="s">
        <v>374</v>
      </c>
      <c r="K32" s="103">
        <f>E18</f>
        <v>1845.2245316702119</v>
      </c>
      <c r="L32" s="103"/>
    </row>
    <row r="34" spans="7:15" x14ac:dyDescent="0.2">
      <c r="G34" s="88" t="s">
        <v>376</v>
      </c>
      <c r="H34" s="88"/>
      <c r="I34" s="88"/>
      <c r="J34" s="88"/>
      <c r="K34" s="148">
        <f>E18/13</f>
        <v>141.9403485900163</v>
      </c>
      <c r="L34" s="148">
        <v>130</v>
      </c>
      <c r="M34" s="148">
        <f>K34-L34</f>
        <v>11.940348590016299</v>
      </c>
      <c r="N34" s="88">
        <v>13</v>
      </c>
      <c r="O34" s="149">
        <f>M34*N34</f>
        <v>155.22453167021189</v>
      </c>
    </row>
  </sheetData>
  <mergeCells count="4">
    <mergeCell ref="H3:I3"/>
    <mergeCell ref="H4:I4"/>
    <mergeCell ref="H7:L7"/>
    <mergeCell ref="I31:K31"/>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93"/>
  <sheetViews>
    <sheetView zoomScale="95" zoomScaleNormal="95" workbookViewId="0">
      <pane xSplit="2" ySplit="6" topLeftCell="C7" activePane="bottomRight" state="frozen"/>
      <selection pane="topRight" activeCell="B1" sqref="B1"/>
      <selection pane="bottomLeft" activeCell="A7" sqref="A7"/>
      <selection pane="bottomRight" activeCell="B22" activeCellId="1" sqref="B13:B20 B22"/>
    </sheetView>
  </sheetViews>
  <sheetFormatPr defaultRowHeight="15" customHeight="1" x14ac:dyDescent="0.2"/>
  <cols>
    <col min="1" max="1" width="3.7109375" style="9" customWidth="1"/>
    <col min="2" max="2" width="38.7109375" style="9" customWidth="1"/>
    <col min="3" max="6" width="12.7109375" style="23" customWidth="1"/>
    <col min="7" max="14" width="12.7109375" style="9" customWidth="1"/>
    <col min="15" max="15" width="13.7109375" style="9" customWidth="1"/>
    <col min="16" max="27" width="12.7109375" style="9" customWidth="1"/>
    <col min="28" max="28" width="13.7109375" style="9" customWidth="1"/>
    <col min="29" max="40" width="12.7109375" style="9" customWidth="1"/>
    <col min="41" max="41" width="13.7109375" style="9" customWidth="1"/>
    <col min="42" max="16384" width="9.140625" style="9"/>
  </cols>
  <sheetData>
    <row r="1" spans="1:41" ht="15.75" x14ac:dyDescent="0.25">
      <c r="B1" s="5" t="str">
        <f>Assumptions!$B$4</f>
        <v>TALK Toastmasters Manurewa</v>
      </c>
    </row>
    <row r="2" spans="1:41" ht="15" customHeight="1" x14ac:dyDescent="0.2">
      <c r="B2" s="8" t="s">
        <v>77</v>
      </c>
    </row>
    <row r="3" spans="1:41" ht="15" customHeight="1" x14ac:dyDescent="0.2">
      <c r="B3" s="8"/>
    </row>
    <row r="4" spans="1:41" ht="15" customHeight="1" x14ac:dyDescent="0.2">
      <c r="B4" s="8"/>
    </row>
    <row r="5" spans="1:41" ht="15" customHeight="1" x14ac:dyDescent="0.2">
      <c r="B5" s="38" t="s">
        <v>133</v>
      </c>
    </row>
    <row r="6" spans="1:41" s="44" customFormat="1" ht="18" customHeight="1" x14ac:dyDescent="0.2">
      <c r="B6" s="45"/>
      <c r="C6" s="46">
        <f ca="1">IF(ISBLANK(Assumptions!$B$5)=TRUE,DATE(YEAR(TODAY()),MONTH(TODAY())+1,0),DATE(YEAR(Assumptions!$B$5),MONTH(Assumptions!$B$5)+1,0))</f>
        <v>45869</v>
      </c>
      <c r="D6" s="46">
        <f t="shared" ref="D6:N6" ca="1" si="0">DATE(YEAR(C6),MONTH(C6)+2,0)</f>
        <v>45900</v>
      </c>
      <c r="E6" s="46">
        <f t="shared" ca="1" si="0"/>
        <v>45930</v>
      </c>
      <c r="F6" s="46">
        <f t="shared" ca="1" si="0"/>
        <v>45961</v>
      </c>
      <c r="G6" s="46">
        <f t="shared" ca="1" si="0"/>
        <v>45991</v>
      </c>
      <c r="H6" s="46">
        <f t="shared" ca="1" si="0"/>
        <v>46022</v>
      </c>
      <c r="I6" s="46">
        <f t="shared" ca="1" si="0"/>
        <v>46053</v>
      </c>
      <c r="J6" s="46">
        <f t="shared" ca="1" si="0"/>
        <v>46081</v>
      </c>
      <c r="K6" s="46">
        <f t="shared" ca="1" si="0"/>
        <v>46112</v>
      </c>
      <c r="L6" s="46">
        <f t="shared" ca="1" si="0"/>
        <v>46142</v>
      </c>
      <c r="M6" s="46">
        <f t="shared" ca="1" si="0"/>
        <v>46173</v>
      </c>
      <c r="N6" s="46">
        <f t="shared" ca="1" si="0"/>
        <v>46203</v>
      </c>
      <c r="O6" s="47" t="str">
        <f ca="1">"Year "&amp;YEAR(N6)</f>
        <v>Year 2026</v>
      </c>
      <c r="P6" s="46">
        <f ca="1">DATE(YEAR(N6),MONTH(N6)+2,0)</f>
        <v>46234</v>
      </c>
      <c r="Q6" s="46">
        <f t="shared" ref="Q6:AA6" ca="1" si="1">DATE(YEAR(P6),MONTH(P6)+2,0)</f>
        <v>46265</v>
      </c>
      <c r="R6" s="46">
        <f t="shared" ca="1" si="1"/>
        <v>46295</v>
      </c>
      <c r="S6" s="46">
        <f t="shared" ca="1" si="1"/>
        <v>46326</v>
      </c>
      <c r="T6" s="46">
        <f t="shared" ca="1" si="1"/>
        <v>46356</v>
      </c>
      <c r="U6" s="46">
        <f t="shared" ca="1" si="1"/>
        <v>46387</v>
      </c>
      <c r="V6" s="46">
        <f t="shared" ca="1" si="1"/>
        <v>46418</v>
      </c>
      <c r="W6" s="46">
        <f t="shared" ca="1" si="1"/>
        <v>46446</v>
      </c>
      <c r="X6" s="46">
        <f t="shared" ca="1" si="1"/>
        <v>46477</v>
      </c>
      <c r="Y6" s="46">
        <f t="shared" ca="1" si="1"/>
        <v>46507</v>
      </c>
      <c r="Z6" s="46">
        <f t="shared" ca="1" si="1"/>
        <v>46538</v>
      </c>
      <c r="AA6" s="46">
        <f t="shared" ca="1" si="1"/>
        <v>46568</v>
      </c>
      <c r="AB6" s="47" t="str">
        <f ca="1">"Year "&amp;YEAR(AA6)</f>
        <v>Year 2027</v>
      </c>
      <c r="AC6" s="46">
        <f ca="1">DATE(YEAR(AA6),MONTH(AA6)+2,0)</f>
        <v>46599</v>
      </c>
      <c r="AD6" s="46">
        <f t="shared" ref="AD6:AN6" ca="1" si="2">DATE(YEAR(AC6),MONTH(AC6)+2,0)</f>
        <v>46630</v>
      </c>
      <c r="AE6" s="46">
        <f t="shared" ca="1" si="2"/>
        <v>46660</v>
      </c>
      <c r="AF6" s="46">
        <f t="shared" ca="1" si="2"/>
        <v>46691</v>
      </c>
      <c r="AG6" s="46">
        <f t="shared" ca="1" si="2"/>
        <v>46721</v>
      </c>
      <c r="AH6" s="46">
        <f t="shared" ca="1" si="2"/>
        <v>46752</v>
      </c>
      <c r="AI6" s="46">
        <f t="shared" ca="1" si="2"/>
        <v>46783</v>
      </c>
      <c r="AJ6" s="46">
        <f t="shared" ca="1" si="2"/>
        <v>46812</v>
      </c>
      <c r="AK6" s="46">
        <f t="shared" ca="1" si="2"/>
        <v>46843</v>
      </c>
      <c r="AL6" s="46">
        <f t="shared" ca="1" si="2"/>
        <v>46873</v>
      </c>
      <c r="AM6" s="46">
        <f t="shared" ca="1" si="2"/>
        <v>46904</v>
      </c>
      <c r="AN6" s="46">
        <f t="shared" ca="1" si="2"/>
        <v>46934</v>
      </c>
      <c r="AO6" s="47" t="str">
        <f ca="1">"Year "&amp;YEAR(AN6)</f>
        <v>Year 2028</v>
      </c>
    </row>
    <row r="7" spans="1:41" s="18" customFormat="1" ht="15" customHeight="1" x14ac:dyDescent="0.2">
      <c r="A7" s="31"/>
      <c r="B7" s="48" t="s">
        <v>165</v>
      </c>
      <c r="C7" s="49">
        <v>0</v>
      </c>
      <c r="D7" s="50">
        <v>0</v>
      </c>
      <c r="E7" s="50">
        <v>0</v>
      </c>
      <c r="F7" s="50">
        <v>0</v>
      </c>
      <c r="G7" s="50">
        <v>0</v>
      </c>
      <c r="H7" s="50">
        <v>0</v>
      </c>
      <c r="I7" s="50">
        <v>0</v>
      </c>
      <c r="J7" s="50">
        <v>0</v>
      </c>
      <c r="K7" s="50">
        <v>0</v>
      </c>
      <c r="L7" s="50">
        <v>0</v>
      </c>
      <c r="M7" s="50">
        <v>0</v>
      </c>
      <c r="N7" s="50">
        <v>0</v>
      </c>
      <c r="O7" s="50">
        <f>SUM(C7:N7)</f>
        <v>0</v>
      </c>
      <c r="P7" s="50">
        <v>40112.5</v>
      </c>
      <c r="Q7" s="50">
        <v>39876</v>
      </c>
      <c r="R7" s="50">
        <v>44263.625</v>
      </c>
      <c r="S7" s="50">
        <v>45997.625</v>
      </c>
      <c r="T7" s="50">
        <v>45262.25</v>
      </c>
      <c r="U7" s="50">
        <v>40709.875</v>
      </c>
      <c r="V7" s="50">
        <v>40883.75</v>
      </c>
      <c r="W7" s="50">
        <v>42861.25</v>
      </c>
      <c r="X7" s="50">
        <v>41959</v>
      </c>
      <c r="Y7" s="50">
        <v>45997.5</v>
      </c>
      <c r="Z7" s="50">
        <v>45359.25</v>
      </c>
      <c r="AA7" s="50">
        <v>43901</v>
      </c>
      <c r="AB7" s="50">
        <f>SUM(P7:AA7)</f>
        <v>517183.625</v>
      </c>
      <c r="AC7" s="50">
        <v>40633.75</v>
      </c>
      <c r="AD7" s="50">
        <v>46508.75</v>
      </c>
      <c r="AE7" s="50">
        <v>43153.75</v>
      </c>
      <c r="AF7" s="50">
        <v>47374.5</v>
      </c>
      <c r="AG7" s="50">
        <v>45151</v>
      </c>
      <c r="AH7" s="50">
        <v>50240</v>
      </c>
      <c r="AI7" s="50">
        <v>47760</v>
      </c>
      <c r="AJ7" s="50">
        <v>48048.875</v>
      </c>
      <c r="AK7" s="50">
        <v>46556.25</v>
      </c>
      <c r="AL7" s="50">
        <v>47650</v>
      </c>
      <c r="AM7" s="50">
        <v>46681.25</v>
      </c>
      <c r="AN7" s="50">
        <v>45287.5</v>
      </c>
      <c r="AO7" s="50">
        <f>SUM(AC7:AN7)</f>
        <v>555045.625</v>
      </c>
    </row>
    <row r="8" spans="1:41" s="23" customFormat="1" ht="15" customHeight="1" x14ac:dyDescent="0.2">
      <c r="B8" s="22" t="s">
        <v>166</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row>
    <row r="9" spans="1:41" s="23" customFormat="1" ht="15" customHeight="1" x14ac:dyDescent="0.2">
      <c r="B9" s="22"/>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row>
    <row r="10" spans="1:41" s="18" customFormat="1" ht="15" customHeight="1" x14ac:dyDescent="0.2">
      <c r="B10" s="48" t="s">
        <v>1</v>
      </c>
      <c r="C10" s="51">
        <f t="shared" ref="C10:N10" si="3">C7*C11</f>
        <v>0</v>
      </c>
      <c r="D10" s="51">
        <f t="shared" si="3"/>
        <v>0</v>
      </c>
      <c r="E10" s="51">
        <f t="shared" si="3"/>
        <v>0</v>
      </c>
      <c r="F10" s="51">
        <f t="shared" si="3"/>
        <v>0</v>
      </c>
      <c r="G10" s="51">
        <f t="shared" si="3"/>
        <v>0</v>
      </c>
      <c r="H10" s="51">
        <f t="shared" si="3"/>
        <v>0</v>
      </c>
      <c r="I10" s="51">
        <f t="shared" si="3"/>
        <v>0</v>
      </c>
      <c r="J10" s="51">
        <f t="shared" si="3"/>
        <v>0</v>
      </c>
      <c r="K10" s="51">
        <f t="shared" si="3"/>
        <v>0</v>
      </c>
      <c r="L10" s="51">
        <f t="shared" si="3"/>
        <v>0</v>
      </c>
      <c r="M10" s="51">
        <f t="shared" si="3"/>
        <v>0</v>
      </c>
      <c r="N10" s="51">
        <f t="shared" si="3"/>
        <v>0</v>
      </c>
      <c r="O10" s="51">
        <f>SUM(C10:N10)</f>
        <v>0</v>
      </c>
      <c r="P10" s="51">
        <f t="shared" ref="P10:AA10" si="4">P7*P11</f>
        <v>15282.862500000001</v>
      </c>
      <c r="Q10" s="51">
        <f t="shared" si="4"/>
        <v>14993.376</v>
      </c>
      <c r="R10" s="51">
        <f t="shared" si="4"/>
        <v>16554.59575</v>
      </c>
      <c r="S10" s="51">
        <f t="shared" si="4"/>
        <v>17111.1165</v>
      </c>
      <c r="T10" s="51">
        <f t="shared" si="4"/>
        <v>17018.606</v>
      </c>
      <c r="U10" s="51">
        <f t="shared" si="4"/>
        <v>15958.271000000001</v>
      </c>
      <c r="V10" s="51">
        <f t="shared" si="4"/>
        <v>15290.522499999999</v>
      </c>
      <c r="W10" s="51">
        <f t="shared" si="4"/>
        <v>16244.41375</v>
      </c>
      <c r="X10" s="51">
        <f t="shared" si="4"/>
        <v>16028.338</v>
      </c>
      <c r="Y10" s="51">
        <f t="shared" si="4"/>
        <v>17709.037500000002</v>
      </c>
      <c r="Z10" s="51">
        <f t="shared" si="4"/>
        <v>17644.748250000001</v>
      </c>
      <c r="AA10" s="51">
        <f t="shared" si="4"/>
        <v>16945.786</v>
      </c>
      <c r="AB10" s="51">
        <f>SUM(P10:AA10)</f>
        <v>196781.67374999999</v>
      </c>
      <c r="AC10" s="51">
        <f t="shared" ref="AC10:AN10" si="5">AC7*AC11</f>
        <v>16090.965</v>
      </c>
      <c r="AD10" s="51">
        <f t="shared" si="5"/>
        <v>18091.903750000001</v>
      </c>
      <c r="AE10" s="51">
        <f t="shared" si="5"/>
        <v>17045.731250000001</v>
      </c>
      <c r="AF10" s="51">
        <f t="shared" si="5"/>
        <v>18333.931499999999</v>
      </c>
      <c r="AG10" s="51">
        <f t="shared" si="5"/>
        <v>18105.550999999999</v>
      </c>
      <c r="AH10" s="51">
        <f t="shared" si="5"/>
        <v>19945.280000000002</v>
      </c>
      <c r="AI10" s="51">
        <f t="shared" si="5"/>
        <v>18769.68</v>
      </c>
      <c r="AJ10" s="51">
        <f t="shared" si="5"/>
        <v>19363.696625</v>
      </c>
      <c r="AK10" s="51">
        <f t="shared" si="5"/>
        <v>18669.056250000001</v>
      </c>
      <c r="AL10" s="51">
        <f t="shared" si="5"/>
        <v>18821.75</v>
      </c>
      <c r="AM10" s="51">
        <f t="shared" si="5"/>
        <v>19045.949999999997</v>
      </c>
      <c r="AN10" s="51">
        <f t="shared" si="5"/>
        <v>18613.162499999999</v>
      </c>
      <c r="AO10" s="51">
        <f>SUM(AC10:AN10)</f>
        <v>220896.657875</v>
      </c>
    </row>
    <row r="11" spans="1:41" s="19" customFormat="1" ht="15" customHeight="1" x14ac:dyDescent="0.2">
      <c r="A11" s="28"/>
      <c r="B11" s="19" t="s">
        <v>2</v>
      </c>
      <c r="C11" s="29">
        <v>0.34799999999999998</v>
      </c>
      <c r="D11" s="29">
        <v>0.35799999999999998</v>
      </c>
      <c r="E11" s="29">
        <v>0.34499999999999997</v>
      </c>
      <c r="F11" s="30">
        <v>0.34399999999999997</v>
      </c>
      <c r="G11" s="30">
        <v>0.34799999999999998</v>
      </c>
      <c r="H11" s="30">
        <v>0.35</v>
      </c>
      <c r="I11" s="30">
        <v>0.36399999999999999</v>
      </c>
      <c r="J11" s="30">
        <v>0.36499999999999999</v>
      </c>
      <c r="K11" s="30">
        <v>0.371</v>
      </c>
      <c r="L11" s="30">
        <v>0.379</v>
      </c>
      <c r="M11" s="30">
        <v>0.36499999999999999</v>
      </c>
      <c r="N11" s="30">
        <v>0.379</v>
      </c>
      <c r="O11" s="30">
        <f>IF(O7=0,0,O10/O7)</f>
        <v>0</v>
      </c>
      <c r="P11" s="30">
        <v>0.38100000000000001</v>
      </c>
      <c r="Q11" s="30">
        <v>0.376</v>
      </c>
      <c r="R11" s="30">
        <v>0.374</v>
      </c>
      <c r="S11" s="30">
        <v>0.372</v>
      </c>
      <c r="T11" s="30">
        <v>0.376</v>
      </c>
      <c r="U11" s="30">
        <v>0.39200000000000002</v>
      </c>
      <c r="V11" s="30">
        <v>0.374</v>
      </c>
      <c r="W11" s="30">
        <v>0.379</v>
      </c>
      <c r="X11" s="30">
        <v>0.38200000000000001</v>
      </c>
      <c r="Y11" s="30">
        <v>0.38500000000000001</v>
      </c>
      <c r="Z11" s="30">
        <v>0.38900000000000001</v>
      </c>
      <c r="AA11" s="30">
        <v>0.38600000000000001</v>
      </c>
      <c r="AB11" s="30">
        <f>IF(AB7=0,0,AB10/AB7)</f>
        <v>0.38048705380028225</v>
      </c>
      <c r="AC11" s="30">
        <v>0.39600000000000002</v>
      </c>
      <c r="AD11" s="30">
        <v>0.38900000000000001</v>
      </c>
      <c r="AE11" s="30">
        <v>0.39500000000000002</v>
      </c>
      <c r="AF11" s="30">
        <v>0.38700000000000001</v>
      </c>
      <c r="AG11" s="30">
        <v>0.40100000000000002</v>
      </c>
      <c r="AH11" s="30">
        <v>0.39700000000000002</v>
      </c>
      <c r="AI11" s="30">
        <v>0.39300000000000002</v>
      </c>
      <c r="AJ11" s="30">
        <v>0.40300000000000002</v>
      </c>
      <c r="AK11" s="30">
        <v>0.40100000000000002</v>
      </c>
      <c r="AL11" s="30">
        <v>0.39500000000000002</v>
      </c>
      <c r="AM11" s="30">
        <v>0.40799999999999997</v>
      </c>
      <c r="AN11" s="30">
        <v>0.41099999999999998</v>
      </c>
      <c r="AO11" s="30">
        <f>IF(AO7=0,0,AO10/AO7)</f>
        <v>0.39797927940608485</v>
      </c>
    </row>
    <row r="12" spans="1:41" ht="15" customHeight="1" x14ac:dyDescent="0.2">
      <c r="C12" s="10"/>
      <c r="D12" s="10"/>
      <c r="E12" s="10"/>
      <c r="F12" s="10"/>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row>
    <row r="13" spans="1:41" ht="15" customHeight="1" x14ac:dyDescent="0.2">
      <c r="B13" s="37" t="s">
        <v>32</v>
      </c>
      <c r="C13" s="10"/>
      <c r="D13" s="10"/>
      <c r="E13" s="10"/>
      <c r="F13" s="10"/>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row>
    <row r="14" spans="1:41" s="23" customFormat="1" ht="15" customHeight="1" x14ac:dyDescent="0.2">
      <c r="A14" s="31"/>
      <c r="B14" s="22" t="s">
        <v>167</v>
      </c>
      <c r="C14" s="10">
        <v>243.75</v>
      </c>
      <c r="D14" s="10">
        <v>243.75</v>
      </c>
      <c r="E14" s="10">
        <v>243.75</v>
      </c>
      <c r="F14" s="10">
        <v>243.75</v>
      </c>
      <c r="G14" s="10">
        <v>243.75</v>
      </c>
      <c r="H14" s="10">
        <v>243.75</v>
      </c>
      <c r="I14" s="10">
        <v>243.75</v>
      </c>
      <c r="J14" s="10">
        <v>243.75</v>
      </c>
      <c r="K14" s="10">
        <v>243.75</v>
      </c>
      <c r="L14" s="10">
        <v>243.75</v>
      </c>
      <c r="M14" s="10">
        <v>243.75</v>
      </c>
      <c r="N14" s="10">
        <v>243.75</v>
      </c>
      <c r="O14" s="51">
        <f t="shared" ref="O14:O19" si="6">SUM(C14:N14)</f>
        <v>2925</v>
      </c>
      <c r="P14" s="10">
        <v>262.5</v>
      </c>
      <c r="Q14" s="10">
        <v>262.5</v>
      </c>
      <c r="R14" s="10">
        <v>262.5</v>
      </c>
      <c r="S14" s="10">
        <v>262.5</v>
      </c>
      <c r="T14" s="10">
        <v>262.5</v>
      </c>
      <c r="U14" s="10">
        <v>262.5</v>
      </c>
      <c r="V14" s="10">
        <v>262.5</v>
      </c>
      <c r="W14" s="10">
        <v>262.5</v>
      </c>
      <c r="X14" s="10">
        <v>262.5</v>
      </c>
      <c r="Y14" s="10">
        <v>262.5</v>
      </c>
      <c r="Z14" s="10">
        <v>262.5</v>
      </c>
      <c r="AA14" s="10">
        <v>262.5</v>
      </c>
      <c r="AB14" s="51">
        <f t="shared" ref="AB14:AB19" si="7">SUM(P14:AA14)</f>
        <v>3150</v>
      </c>
      <c r="AC14" s="10">
        <v>306.25</v>
      </c>
      <c r="AD14" s="10">
        <v>306.25</v>
      </c>
      <c r="AE14" s="10">
        <v>306.25</v>
      </c>
      <c r="AF14" s="10">
        <v>306.25</v>
      </c>
      <c r="AG14" s="10">
        <v>306.25</v>
      </c>
      <c r="AH14" s="10">
        <v>306.25</v>
      </c>
      <c r="AI14" s="10">
        <v>306.25</v>
      </c>
      <c r="AJ14" s="10">
        <v>306.25</v>
      </c>
      <c r="AK14" s="10">
        <v>306.25</v>
      </c>
      <c r="AL14" s="10">
        <v>306.25</v>
      </c>
      <c r="AM14" s="10">
        <v>306.25</v>
      </c>
      <c r="AN14" s="10">
        <v>306.25</v>
      </c>
      <c r="AO14" s="51">
        <f t="shared" ref="AO14:AO19" si="8">SUM(AC14:AN14)</f>
        <v>3675</v>
      </c>
    </row>
    <row r="15" spans="1:41" s="23" customFormat="1" ht="15" customHeight="1" x14ac:dyDescent="0.2">
      <c r="A15" s="31"/>
      <c r="B15" s="22" t="s">
        <v>168</v>
      </c>
      <c r="C15" s="10">
        <v>437.5</v>
      </c>
      <c r="D15" s="10">
        <v>525</v>
      </c>
      <c r="E15" s="10">
        <v>1125</v>
      </c>
      <c r="F15" s="10">
        <v>915</v>
      </c>
      <c r="G15" s="10">
        <v>412.25</v>
      </c>
      <c r="H15" s="10">
        <v>2337.5</v>
      </c>
      <c r="I15" s="10">
        <v>406.25</v>
      </c>
      <c r="J15" s="10">
        <v>406.25</v>
      </c>
      <c r="K15" s="10">
        <v>4625</v>
      </c>
      <c r="L15" s="10">
        <v>1500</v>
      </c>
      <c r="M15" s="10">
        <v>400</v>
      </c>
      <c r="N15" s="10">
        <v>497.5</v>
      </c>
      <c r="O15" s="51">
        <f t="shared" si="6"/>
        <v>13587.25</v>
      </c>
      <c r="P15" s="10">
        <v>362.5</v>
      </c>
      <c r="Q15" s="10">
        <v>2206.75</v>
      </c>
      <c r="R15" s="10">
        <v>498.375</v>
      </c>
      <c r="S15" s="10">
        <v>525</v>
      </c>
      <c r="T15" s="10">
        <v>512.5</v>
      </c>
      <c r="U15" s="10">
        <v>4312.5</v>
      </c>
      <c r="V15" s="10">
        <v>1350</v>
      </c>
      <c r="W15" s="10">
        <v>1650</v>
      </c>
      <c r="X15" s="10">
        <v>900.375</v>
      </c>
      <c r="Y15" s="10">
        <v>4831.5</v>
      </c>
      <c r="Z15" s="10">
        <v>407.5</v>
      </c>
      <c r="AA15" s="10">
        <v>528.75</v>
      </c>
      <c r="AB15" s="51">
        <f t="shared" si="7"/>
        <v>18085.75</v>
      </c>
      <c r="AC15" s="10">
        <v>547.5</v>
      </c>
      <c r="AD15" s="10">
        <v>5287.5</v>
      </c>
      <c r="AE15" s="10">
        <v>525</v>
      </c>
      <c r="AF15" s="10">
        <v>550</v>
      </c>
      <c r="AG15" s="10">
        <v>7175</v>
      </c>
      <c r="AH15" s="10">
        <v>953.75</v>
      </c>
      <c r="AI15" s="10">
        <v>1220</v>
      </c>
      <c r="AJ15" s="10">
        <v>912.5</v>
      </c>
      <c r="AK15" s="10">
        <v>3900</v>
      </c>
      <c r="AL15" s="10">
        <v>4122.5</v>
      </c>
      <c r="AM15" s="10">
        <v>1278.75</v>
      </c>
      <c r="AN15" s="10">
        <v>1675</v>
      </c>
      <c r="AO15" s="51">
        <f t="shared" si="8"/>
        <v>28147.5</v>
      </c>
    </row>
    <row r="16" spans="1:41" s="23" customFormat="1" ht="15" customHeight="1" x14ac:dyDescent="0.2">
      <c r="A16" s="31"/>
      <c r="B16" s="22" t="s">
        <v>3</v>
      </c>
      <c r="C16" s="10">
        <v>22.5</v>
      </c>
      <c r="D16" s="10">
        <v>22.5</v>
      </c>
      <c r="E16" s="10">
        <v>22.5</v>
      </c>
      <c r="F16" s="10">
        <v>22.5</v>
      </c>
      <c r="G16" s="10">
        <v>22.5</v>
      </c>
      <c r="H16" s="10">
        <v>22.5</v>
      </c>
      <c r="I16" s="10">
        <v>22.5</v>
      </c>
      <c r="J16" s="10">
        <v>22.5</v>
      </c>
      <c r="K16" s="10">
        <v>22.5</v>
      </c>
      <c r="L16" s="10">
        <v>22.5</v>
      </c>
      <c r="M16" s="10">
        <v>22.5</v>
      </c>
      <c r="N16" s="10">
        <v>22.5</v>
      </c>
      <c r="O16" s="51">
        <f t="shared" si="6"/>
        <v>270</v>
      </c>
      <c r="P16" s="10">
        <v>26.25</v>
      </c>
      <c r="Q16" s="10">
        <v>26.25</v>
      </c>
      <c r="R16" s="10">
        <v>26.25</v>
      </c>
      <c r="S16" s="10">
        <v>26.25</v>
      </c>
      <c r="T16" s="10">
        <v>26.25</v>
      </c>
      <c r="U16" s="10">
        <v>26.25</v>
      </c>
      <c r="V16" s="10">
        <v>26.25</v>
      </c>
      <c r="W16" s="10">
        <v>26.25</v>
      </c>
      <c r="X16" s="10">
        <v>26.25</v>
      </c>
      <c r="Y16" s="10">
        <v>26.25</v>
      </c>
      <c r="Z16" s="10">
        <v>26.25</v>
      </c>
      <c r="AA16" s="10">
        <v>26.25</v>
      </c>
      <c r="AB16" s="51">
        <f t="shared" si="7"/>
        <v>315</v>
      </c>
      <c r="AC16" s="10">
        <v>31.25</v>
      </c>
      <c r="AD16" s="10">
        <v>31.25</v>
      </c>
      <c r="AE16" s="10">
        <v>31.25</v>
      </c>
      <c r="AF16" s="10">
        <v>31.25</v>
      </c>
      <c r="AG16" s="10">
        <v>31.25</v>
      </c>
      <c r="AH16" s="10">
        <v>31.25</v>
      </c>
      <c r="AI16" s="10">
        <v>31.25</v>
      </c>
      <c r="AJ16" s="10">
        <v>31.25</v>
      </c>
      <c r="AK16" s="10">
        <v>31.25</v>
      </c>
      <c r="AL16" s="10">
        <v>31.25</v>
      </c>
      <c r="AM16" s="10">
        <v>31.25</v>
      </c>
      <c r="AN16" s="10">
        <v>31.25</v>
      </c>
      <c r="AO16" s="51">
        <f t="shared" si="8"/>
        <v>375</v>
      </c>
    </row>
    <row r="17" spans="1:41" s="23" customFormat="1" ht="15" customHeight="1" x14ac:dyDescent="0.2">
      <c r="A17" s="31"/>
      <c r="B17" s="22" t="s">
        <v>169</v>
      </c>
      <c r="C17" s="10">
        <v>0</v>
      </c>
      <c r="D17" s="10">
        <v>0</v>
      </c>
      <c r="E17" s="10">
        <v>187.5</v>
      </c>
      <c r="F17" s="10">
        <v>0</v>
      </c>
      <c r="G17" s="10">
        <v>0</v>
      </c>
      <c r="H17" s="10">
        <v>0</v>
      </c>
      <c r="I17" s="10">
        <v>0</v>
      </c>
      <c r="J17" s="10">
        <v>387.5</v>
      </c>
      <c r="K17" s="10">
        <v>0</v>
      </c>
      <c r="L17" s="10">
        <v>0</v>
      </c>
      <c r="M17" s="10">
        <v>431.25</v>
      </c>
      <c r="N17" s="10">
        <v>0</v>
      </c>
      <c r="O17" s="51">
        <f t="shared" si="6"/>
        <v>1006.25</v>
      </c>
      <c r="P17" s="10">
        <v>0</v>
      </c>
      <c r="Q17" s="10">
        <v>0</v>
      </c>
      <c r="R17" s="10">
        <v>0</v>
      </c>
      <c r="S17" s="10">
        <v>236.25</v>
      </c>
      <c r="T17" s="10">
        <v>0</v>
      </c>
      <c r="U17" s="10">
        <v>0</v>
      </c>
      <c r="V17" s="10">
        <v>0</v>
      </c>
      <c r="W17" s="10">
        <v>442.5</v>
      </c>
      <c r="X17" s="10">
        <v>0</v>
      </c>
      <c r="Y17" s="10">
        <v>0</v>
      </c>
      <c r="Z17" s="10">
        <v>0</v>
      </c>
      <c r="AA17" s="10">
        <v>0</v>
      </c>
      <c r="AB17" s="51">
        <f t="shared" si="7"/>
        <v>678.75</v>
      </c>
      <c r="AC17" s="10">
        <v>0</v>
      </c>
      <c r="AD17" s="10">
        <v>0</v>
      </c>
      <c r="AE17" s="10">
        <v>0</v>
      </c>
      <c r="AF17" s="10">
        <v>525</v>
      </c>
      <c r="AG17" s="10">
        <v>0</v>
      </c>
      <c r="AH17" s="10">
        <v>0</v>
      </c>
      <c r="AI17" s="10">
        <v>0</v>
      </c>
      <c r="AJ17" s="10">
        <v>0</v>
      </c>
      <c r="AK17" s="10">
        <v>486.25</v>
      </c>
      <c r="AL17" s="10">
        <v>260</v>
      </c>
      <c r="AM17" s="10">
        <v>0</v>
      </c>
      <c r="AN17" s="10">
        <v>0</v>
      </c>
      <c r="AO17" s="51">
        <f t="shared" si="8"/>
        <v>1271.25</v>
      </c>
    </row>
    <row r="18" spans="1:41" s="23" customFormat="1" ht="15" customHeight="1" x14ac:dyDescent="0.2">
      <c r="A18" s="31"/>
      <c r="B18" s="22" t="s">
        <v>172</v>
      </c>
      <c r="C18" s="10">
        <v>0</v>
      </c>
      <c r="D18" s="10">
        <v>0</v>
      </c>
      <c r="E18" s="10">
        <v>0</v>
      </c>
      <c r="F18" s="10">
        <v>650</v>
      </c>
      <c r="G18" s="10">
        <v>0</v>
      </c>
      <c r="H18" s="10">
        <v>0</v>
      </c>
      <c r="I18" s="10">
        <v>0</v>
      </c>
      <c r="J18" s="10">
        <v>0</v>
      </c>
      <c r="K18" s="10">
        <v>0</v>
      </c>
      <c r="L18" s="10">
        <v>482.5</v>
      </c>
      <c r="M18" s="10">
        <v>0</v>
      </c>
      <c r="N18" s="10">
        <v>0</v>
      </c>
      <c r="O18" s="51">
        <f t="shared" si="6"/>
        <v>1132.5</v>
      </c>
      <c r="P18" s="10">
        <v>0</v>
      </c>
      <c r="Q18" s="10">
        <v>0</v>
      </c>
      <c r="R18" s="10">
        <v>0</v>
      </c>
      <c r="S18" s="10">
        <v>0</v>
      </c>
      <c r="T18" s="10">
        <v>0</v>
      </c>
      <c r="U18" s="10">
        <v>0</v>
      </c>
      <c r="V18" s="10">
        <v>0</v>
      </c>
      <c r="W18" s="10">
        <v>0</v>
      </c>
      <c r="X18" s="10">
        <v>0</v>
      </c>
      <c r="Y18" s="10">
        <v>522.5</v>
      </c>
      <c r="Z18" s="10">
        <v>0</v>
      </c>
      <c r="AA18" s="10">
        <v>0</v>
      </c>
      <c r="AB18" s="51">
        <f t="shared" si="7"/>
        <v>522.5</v>
      </c>
      <c r="AC18" s="10">
        <v>0</v>
      </c>
      <c r="AD18" s="10">
        <v>0</v>
      </c>
      <c r="AE18" s="10">
        <v>952.5</v>
      </c>
      <c r="AF18" s="10">
        <v>0</v>
      </c>
      <c r="AG18" s="10">
        <v>0</v>
      </c>
      <c r="AH18" s="10">
        <v>0</v>
      </c>
      <c r="AI18" s="10">
        <v>0</v>
      </c>
      <c r="AJ18" s="10">
        <v>0</v>
      </c>
      <c r="AK18" s="10">
        <v>0</v>
      </c>
      <c r="AL18" s="10">
        <v>0</v>
      </c>
      <c r="AM18" s="10">
        <v>0</v>
      </c>
      <c r="AN18" s="10">
        <v>0</v>
      </c>
      <c r="AO18" s="51">
        <f t="shared" si="8"/>
        <v>952.5</v>
      </c>
    </row>
    <row r="19" spans="1:41" s="23" customFormat="1" ht="15" customHeight="1" x14ac:dyDescent="0.2">
      <c r="A19" s="31"/>
      <c r="B19" s="22" t="s">
        <v>4</v>
      </c>
      <c r="C19" s="10">
        <v>10</v>
      </c>
      <c r="D19" s="10">
        <v>0</v>
      </c>
      <c r="E19" s="10">
        <v>0</v>
      </c>
      <c r="F19" s="10">
        <v>0</v>
      </c>
      <c r="G19" s="10">
        <v>154.875</v>
      </c>
      <c r="H19" s="10">
        <v>11.125</v>
      </c>
      <c r="I19" s="10">
        <v>15</v>
      </c>
      <c r="J19" s="10">
        <v>0</v>
      </c>
      <c r="K19" s="10">
        <v>13.625</v>
      </c>
      <c r="L19" s="10">
        <v>112.5</v>
      </c>
      <c r="M19" s="10">
        <v>0</v>
      </c>
      <c r="N19" s="10">
        <v>0</v>
      </c>
      <c r="O19" s="51">
        <f t="shared" si="6"/>
        <v>317.125</v>
      </c>
      <c r="P19" s="10">
        <v>111.25</v>
      </c>
      <c r="Q19" s="10">
        <v>0</v>
      </c>
      <c r="R19" s="10">
        <v>10.875</v>
      </c>
      <c r="S19" s="10">
        <v>0</v>
      </c>
      <c r="T19" s="10">
        <v>0</v>
      </c>
      <c r="U19" s="10">
        <v>262.5</v>
      </c>
      <c r="V19" s="10">
        <v>0</v>
      </c>
      <c r="W19" s="10">
        <v>0</v>
      </c>
      <c r="X19" s="10">
        <v>411.125</v>
      </c>
      <c r="Y19" s="10">
        <v>0</v>
      </c>
      <c r="Z19" s="10">
        <v>0</v>
      </c>
      <c r="AA19" s="10">
        <v>12.25</v>
      </c>
      <c r="AB19" s="51">
        <f t="shared" si="7"/>
        <v>808</v>
      </c>
      <c r="AC19" s="10">
        <v>0</v>
      </c>
      <c r="AD19" s="10">
        <v>0</v>
      </c>
      <c r="AE19" s="10">
        <v>637.5</v>
      </c>
      <c r="AF19" s="10">
        <v>0</v>
      </c>
      <c r="AG19" s="10">
        <v>0</v>
      </c>
      <c r="AH19" s="10">
        <v>9.5</v>
      </c>
      <c r="AI19" s="10">
        <v>0</v>
      </c>
      <c r="AJ19" s="10">
        <v>0</v>
      </c>
      <c r="AK19" s="10">
        <v>0</v>
      </c>
      <c r="AL19" s="10">
        <v>0</v>
      </c>
      <c r="AM19" s="10">
        <v>0</v>
      </c>
      <c r="AN19" s="10">
        <v>0</v>
      </c>
      <c r="AO19" s="51">
        <f t="shared" si="8"/>
        <v>647</v>
      </c>
    </row>
    <row r="20" spans="1:41" s="37" customFormat="1" ht="15" customHeight="1" x14ac:dyDescent="0.2">
      <c r="B20" s="37" t="s">
        <v>36</v>
      </c>
      <c r="C20" s="52">
        <f t="shared" ref="C20:AO20" ca="1" si="9">SUM(OFFSET($B$13,1,COLUMN(C13)-2,ROW($B$20)-ROW($B$13)-1,1))</f>
        <v>713.75</v>
      </c>
      <c r="D20" s="52">
        <f t="shared" ca="1" si="9"/>
        <v>791.25</v>
      </c>
      <c r="E20" s="52">
        <f t="shared" ca="1" si="9"/>
        <v>1578.75</v>
      </c>
      <c r="F20" s="52">
        <f t="shared" ca="1" si="9"/>
        <v>1831.25</v>
      </c>
      <c r="G20" s="52">
        <f t="shared" ca="1" si="9"/>
        <v>833.375</v>
      </c>
      <c r="H20" s="52">
        <f t="shared" ca="1" si="9"/>
        <v>2614.875</v>
      </c>
      <c r="I20" s="52">
        <f t="shared" ca="1" si="9"/>
        <v>687.5</v>
      </c>
      <c r="J20" s="52">
        <f t="shared" ca="1" si="9"/>
        <v>1060</v>
      </c>
      <c r="K20" s="52">
        <f t="shared" ca="1" si="9"/>
        <v>4904.875</v>
      </c>
      <c r="L20" s="52">
        <f t="shared" ca="1" si="9"/>
        <v>2361.25</v>
      </c>
      <c r="M20" s="52">
        <f t="shared" ca="1" si="9"/>
        <v>1097.5</v>
      </c>
      <c r="N20" s="52">
        <f t="shared" ca="1" si="9"/>
        <v>763.75</v>
      </c>
      <c r="O20" s="52">
        <f t="shared" ca="1" si="9"/>
        <v>19238.125</v>
      </c>
      <c r="P20" s="52">
        <f t="shared" ca="1" si="9"/>
        <v>762.5</v>
      </c>
      <c r="Q20" s="52">
        <f t="shared" ca="1" si="9"/>
        <v>2495.5</v>
      </c>
      <c r="R20" s="52">
        <f t="shared" ca="1" si="9"/>
        <v>798</v>
      </c>
      <c r="S20" s="52">
        <f t="shared" ca="1" si="9"/>
        <v>1050</v>
      </c>
      <c r="T20" s="52">
        <f t="shared" ca="1" si="9"/>
        <v>801.25</v>
      </c>
      <c r="U20" s="52">
        <f t="shared" ca="1" si="9"/>
        <v>4863.75</v>
      </c>
      <c r="V20" s="52">
        <f t="shared" ca="1" si="9"/>
        <v>1638.75</v>
      </c>
      <c r="W20" s="52">
        <f t="shared" ca="1" si="9"/>
        <v>2381.25</v>
      </c>
      <c r="X20" s="52">
        <f t="shared" ca="1" si="9"/>
        <v>1600.25</v>
      </c>
      <c r="Y20" s="52">
        <f t="shared" ca="1" si="9"/>
        <v>5642.75</v>
      </c>
      <c r="Z20" s="52">
        <f t="shared" ca="1" si="9"/>
        <v>696.25</v>
      </c>
      <c r="AA20" s="52">
        <f t="shared" ca="1" si="9"/>
        <v>829.75</v>
      </c>
      <c r="AB20" s="52">
        <f t="shared" ca="1" si="9"/>
        <v>23560</v>
      </c>
      <c r="AC20" s="52">
        <f t="shared" ca="1" si="9"/>
        <v>885</v>
      </c>
      <c r="AD20" s="52">
        <f t="shared" ca="1" si="9"/>
        <v>5625</v>
      </c>
      <c r="AE20" s="52">
        <f t="shared" ca="1" si="9"/>
        <v>2452.5</v>
      </c>
      <c r="AF20" s="52">
        <f t="shared" ca="1" si="9"/>
        <v>1412.5</v>
      </c>
      <c r="AG20" s="52">
        <f t="shared" ca="1" si="9"/>
        <v>7512.5</v>
      </c>
      <c r="AH20" s="52">
        <f t="shared" ca="1" si="9"/>
        <v>1300.75</v>
      </c>
      <c r="AI20" s="52">
        <f t="shared" ca="1" si="9"/>
        <v>1557.5</v>
      </c>
      <c r="AJ20" s="52">
        <f t="shared" ca="1" si="9"/>
        <v>1250</v>
      </c>
      <c r="AK20" s="52">
        <f t="shared" ca="1" si="9"/>
        <v>4723.75</v>
      </c>
      <c r="AL20" s="52">
        <f t="shared" ca="1" si="9"/>
        <v>4720</v>
      </c>
      <c r="AM20" s="52">
        <f t="shared" ca="1" si="9"/>
        <v>1616.25</v>
      </c>
      <c r="AN20" s="52">
        <f t="shared" ca="1" si="9"/>
        <v>2012.5</v>
      </c>
      <c r="AO20" s="52">
        <f t="shared" ca="1" si="9"/>
        <v>35068.25</v>
      </c>
    </row>
    <row r="21" spans="1:41" ht="15" customHeight="1" x14ac:dyDescent="0.2">
      <c r="C21" s="10"/>
      <c r="D21" s="10"/>
      <c r="E21" s="10"/>
      <c r="F21" s="10"/>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row>
    <row r="22" spans="1:41" s="23" customFormat="1" ht="15" customHeight="1" x14ac:dyDescent="0.2">
      <c r="A22" s="31"/>
      <c r="B22" s="22" t="s">
        <v>53</v>
      </c>
      <c r="C22" s="10">
        <v>0</v>
      </c>
      <c r="D22" s="10">
        <v>0</v>
      </c>
      <c r="E22" s="10">
        <v>0</v>
      </c>
      <c r="F22" s="10">
        <v>0</v>
      </c>
      <c r="G22" s="10">
        <v>0</v>
      </c>
      <c r="H22" s="10">
        <v>0</v>
      </c>
      <c r="I22" s="10">
        <v>0</v>
      </c>
      <c r="J22" s="10">
        <v>0</v>
      </c>
      <c r="K22" s="10">
        <v>0</v>
      </c>
      <c r="L22" s="10">
        <v>0</v>
      </c>
      <c r="M22" s="10">
        <v>0</v>
      </c>
      <c r="N22" s="10">
        <v>0</v>
      </c>
      <c r="O22" s="51">
        <f>SUM(C22:N22)</f>
        <v>0</v>
      </c>
      <c r="P22" s="10">
        <v>1712.5</v>
      </c>
      <c r="Q22" s="10">
        <v>1712.5</v>
      </c>
      <c r="R22" s="10">
        <v>1712.5</v>
      </c>
      <c r="S22" s="10">
        <v>1712.5</v>
      </c>
      <c r="T22" s="10">
        <v>1712.5</v>
      </c>
      <c r="U22" s="10">
        <v>1712.5</v>
      </c>
      <c r="V22" s="10">
        <v>1712.5</v>
      </c>
      <c r="W22" s="10">
        <v>1775</v>
      </c>
      <c r="X22" s="10">
        <v>1775</v>
      </c>
      <c r="Y22" s="10">
        <v>1775</v>
      </c>
      <c r="Z22" s="10">
        <v>1775</v>
      </c>
      <c r="AA22" s="10">
        <v>1775</v>
      </c>
      <c r="AB22" s="51">
        <f>SUM(P22:AA22)</f>
        <v>20862.5</v>
      </c>
      <c r="AC22" s="10">
        <v>1425</v>
      </c>
      <c r="AD22" s="10">
        <v>1600</v>
      </c>
      <c r="AE22" s="10">
        <v>1600</v>
      </c>
      <c r="AF22" s="10">
        <v>1600</v>
      </c>
      <c r="AG22" s="10">
        <v>1600</v>
      </c>
      <c r="AH22" s="10">
        <v>1600</v>
      </c>
      <c r="AI22" s="10">
        <v>1600</v>
      </c>
      <c r="AJ22" s="10">
        <v>1600</v>
      </c>
      <c r="AK22" s="10">
        <v>1600</v>
      </c>
      <c r="AL22" s="10">
        <v>1787.5</v>
      </c>
      <c r="AM22" s="10">
        <v>1787.5</v>
      </c>
      <c r="AN22" s="10">
        <v>1787.5</v>
      </c>
      <c r="AO22" s="51">
        <f>SUM(AC22:AN22)</f>
        <v>19587.5</v>
      </c>
    </row>
    <row r="23" spans="1:41" ht="15" customHeight="1" x14ac:dyDescent="0.2">
      <c r="C23" s="10"/>
      <c r="D23" s="10"/>
      <c r="E23" s="10"/>
      <c r="F23" s="10"/>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row>
    <row r="24" spans="1:41" s="37" customFormat="1" ht="15" customHeight="1" x14ac:dyDescent="0.2">
      <c r="B24" s="37" t="s">
        <v>173</v>
      </c>
      <c r="C24" s="51">
        <f t="shared" ref="C24:AO24" ca="1" si="10">SUM(C10,-C20,-C22)</f>
        <v>-713.75</v>
      </c>
      <c r="D24" s="51">
        <f t="shared" ca="1" si="10"/>
        <v>-791.25</v>
      </c>
      <c r="E24" s="51">
        <f t="shared" ca="1" si="10"/>
        <v>-1578.75</v>
      </c>
      <c r="F24" s="51">
        <f t="shared" ca="1" si="10"/>
        <v>-1831.25</v>
      </c>
      <c r="G24" s="51">
        <f t="shared" ca="1" si="10"/>
        <v>-833.375</v>
      </c>
      <c r="H24" s="51">
        <f t="shared" ca="1" si="10"/>
        <v>-2614.875</v>
      </c>
      <c r="I24" s="51">
        <f t="shared" ca="1" si="10"/>
        <v>-687.5</v>
      </c>
      <c r="J24" s="51">
        <f t="shared" ca="1" si="10"/>
        <v>-1060</v>
      </c>
      <c r="K24" s="51">
        <f t="shared" ca="1" si="10"/>
        <v>-4904.875</v>
      </c>
      <c r="L24" s="51">
        <f t="shared" ca="1" si="10"/>
        <v>-2361.25</v>
      </c>
      <c r="M24" s="51">
        <f t="shared" ca="1" si="10"/>
        <v>-1097.5</v>
      </c>
      <c r="N24" s="51">
        <f t="shared" ca="1" si="10"/>
        <v>-763.75</v>
      </c>
      <c r="O24" s="51">
        <f t="shared" ca="1" si="10"/>
        <v>-19238.125</v>
      </c>
      <c r="P24" s="51">
        <f t="shared" ca="1" si="10"/>
        <v>12807.862500000001</v>
      </c>
      <c r="Q24" s="51">
        <f t="shared" ca="1" si="10"/>
        <v>10785.376</v>
      </c>
      <c r="R24" s="51">
        <f t="shared" ca="1" si="10"/>
        <v>14044.09575</v>
      </c>
      <c r="S24" s="51">
        <f t="shared" ca="1" si="10"/>
        <v>14348.6165</v>
      </c>
      <c r="T24" s="51">
        <f t="shared" ca="1" si="10"/>
        <v>14504.856</v>
      </c>
      <c r="U24" s="51">
        <f t="shared" ca="1" si="10"/>
        <v>9382.0210000000006</v>
      </c>
      <c r="V24" s="51">
        <f t="shared" ca="1" si="10"/>
        <v>11939.272499999999</v>
      </c>
      <c r="W24" s="51">
        <f t="shared" ca="1" si="10"/>
        <v>12088.16375</v>
      </c>
      <c r="X24" s="51">
        <f t="shared" ca="1" si="10"/>
        <v>12653.088</v>
      </c>
      <c r="Y24" s="51">
        <f t="shared" ca="1" si="10"/>
        <v>10291.287500000002</v>
      </c>
      <c r="Z24" s="51">
        <f t="shared" ca="1" si="10"/>
        <v>15173.498250000001</v>
      </c>
      <c r="AA24" s="51">
        <f t="shared" ca="1" si="10"/>
        <v>14341.036</v>
      </c>
      <c r="AB24" s="51">
        <f t="shared" ca="1" si="10"/>
        <v>152359.17374999999</v>
      </c>
      <c r="AC24" s="51">
        <f t="shared" ca="1" si="10"/>
        <v>13780.965</v>
      </c>
      <c r="AD24" s="51">
        <f t="shared" ca="1" si="10"/>
        <v>10866.903750000001</v>
      </c>
      <c r="AE24" s="51">
        <f t="shared" ca="1" si="10"/>
        <v>12993.231250000001</v>
      </c>
      <c r="AF24" s="51">
        <f t="shared" ca="1" si="10"/>
        <v>15321.431499999999</v>
      </c>
      <c r="AG24" s="51">
        <f t="shared" ca="1" si="10"/>
        <v>8993.0509999999995</v>
      </c>
      <c r="AH24" s="51">
        <f t="shared" ca="1" si="10"/>
        <v>17044.530000000002</v>
      </c>
      <c r="AI24" s="51">
        <f t="shared" ca="1" si="10"/>
        <v>15612.18</v>
      </c>
      <c r="AJ24" s="51">
        <f t="shared" ca="1" si="10"/>
        <v>16513.696625</v>
      </c>
      <c r="AK24" s="51">
        <f t="shared" ca="1" si="10"/>
        <v>12345.306250000001</v>
      </c>
      <c r="AL24" s="51">
        <f t="shared" ca="1" si="10"/>
        <v>12314.25</v>
      </c>
      <c r="AM24" s="51">
        <f t="shared" ca="1" si="10"/>
        <v>15642.199999999997</v>
      </c>
      <c r="AN24" s="51">
        <f t="shared" ca="1" si="10"/>
        <v>14813.162499999999</v>
      </c>
      <c r="AO24" s="51">
        <f t="shared" ca="1" si="10"/>
        <v>166240.907875</v>
      </c>
    </row>
    <row r="25" spans="1:41" ht="15" customHeight="1" x14ac:dyDescent="0.2">
      <c r="C25" s="10"/>
      <c r="D25" s="10"/>
      <c r="E25" s="10"/>
      <c r="F25" s="10"/>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row>
    <row r="26" spans="1:41" s="23" customFormat="1" ht="15" customHeight="1" x14ac:dyDescent="0.2">
      <c r="A26" s="31"/>
      <c r="B26" s="85" t="s">
        <v>23</v>
      </c>
      <c r="C26" s="10">
        <v>0</v>
      </c>
      <c r="D26" s="10">
        <v>0</v>
      </c>
      <c r="E26" s="10">
        <v>0</v>
      </c>
      <c r="F26" s="10">
        <v>0</v>
      </c>
      <c r="G26" s="10">
        <v>0</v>
      </c>
      <c r="H26" s="10">
        <v>0</v>
      </c>
      <c r="I26" s="10">
        <v>0</v>
      </c>
      <c r="J26" s="10">
        <v>0</v>
      </c>
      <c r="K26" s="10">
        <v>0</v>
      </c>
      <c r="L26" s="10">
        <v>0</v>
      </c>
      <c r="M26" s="10">
        <v>0</v>
      </c>
      <c r="N26" s="10">
        <v>0</v>
      </c>
      <c r="O26" s="51">
        <f>SUM(C26:N26)</f>
        <v>0</v>
      </c>
      <c r="P26" s="10">
        <v>1043.625</v>
      </c>
      <c r="Q26" s="10">
        <v>1026</v>
      </c>
      <c r="R26" s="10">
        <v>1008.25</v>
      </c>
      <c r="S26" s="10">
        <v>1052.875</v>
      </c>
      <c r="T26" s="10">
        <v>1033.875</v>
      </c>
      <c r="U26" s="10">
        <v>1014.875</v>
      </c>
      <c r="V26" s="10">
        <v>995.625</v>
      </c>
      <c r="W26" s="10">
        <v>976.25</v>
      </c>
      <c r="X26" s="10">
        <v>956.75</v>
      </c>
      <c r="Y26" s="10">
        <v>937.125</v>
      </c>
      <c r="Z26" s="10">
        <v>917.25</v>
      </c>
      <c r="AA26" s="10">
        <v>897.25</v>
      </c>
      <c r="AB26" s="51">
        <f>SUM(P26:AA26)</f>
        <v>11859.75</v>
      </c>
      <c r="AC26" s="10">
        <v>877</v>
      </c>
      <c r="AD26" s="10">
        <v>856.625</v>
      </c>
      <c r="AE26" s="10">
        <v>836.125</v>
      </c>
      <c r="AF26" s="10">
        <v>815.375</v>
      </c>
      <c r="AG26" s="10">
        <v>877.875</v>
      </c>
      <c r="AH26" s="10">
        <v>855.75</v>
      </c>
      <c r="AI26" s="10">
        <v>833.5</v>
      </c>
      <c r="AJ26" s="10">
        <v>811</v>
      </c>
      <c r="AK26" s="10">
        <v>788.25</v>
      </c>
      <c r="AL26" s="10">
        <v>765.375</v>
      </c>
      <c r="AM26" s="10">
        <v>773.625</v>
      </c>
      <c r="AN26" s="10">
        <v>750</v>
      </c>
      <c r="AO26" s="51">
        <f>SUM(AC26:AN26)</f>
        <v>9840.5</v>
      </c>
    </row>
    <row r="27" spans="1:41" s="23" customFormat="1" ht="15" customHeight="1" x14ac:dyDescent="0.2">
      <c r="A27" s="31"/>
      <c r="B27" s="85" t="s">
        <v>17</v>
      </c>
      <c r="C27" s="10">
        <v>0</v>
      </c>
      <c r="D27" s="10">
        <v>0</v>
      </c>
      <c r="E27" s="10">
        <v>0</v>
      </c>
      <c r="F27" s="10">
        <v>0</v>
      </c>
      <c r="G27" s="10">
        <v>0</v>
      </c>
      <c r="H27" s="10">
        <v>0</v>
      </c>
      <c r="I27" s="10">
        <v>0</v>
      </c>
      <c r="J27" s="10">
        <v>0</v>
      </c>
      <c r="K27" s="10">
        <v>0</v>
      </c>
      <c r="L27" s="10">
        <v>0</v>
      </c>
      <c r="M27" s="10">
        <v>0</v>
      </c>
      <c r="N27" s="10">
        <v>0</v>
      </c>
      <c r="O27" s="51">
        <f>SUM(C27:N27)</f>
        <v>0</v>
      </c>
      <c r="P27" s="10">
        <v>1573.4212500000003</v>
      </c>
      <c r="Q27" s="10">
        <v>687.07530000000008</v>
      </c>
      <c r="R27" s="10">
        <v>1933.2287249999999</v>
      </c>
      <c r="S27" s="10">
        <v>1481.47245</v>
      </c>
      <c r="T27" s="10">
        <v>2060.4317999999998</v>
      </c>
      <c r="U27" s="10">
        <v>268.13130000000018</v>
      </c>
      <c r="V27" s="10">
        <v>427.58174999999972</v>
      </c>
      <c r="W27" s="10">
        <v>396.3491249999999</v>
      </c>
      <c r="X27" s="10">
        <v>1491.6263999999999</v>
      </c>
      <c r="Y27" s="10">
        <v>0</v>
      </c>
      <c r="Z27" s="10">
        <v>1879.77</v>
      </c>
      <c r="AA27" s="10">
        <v>2024.5982999999999</v>
      </c>
      <c r="AB27" s="51">
        <f>SUM(P27:AA27)</f>
        <v>14223.686400000001</v>
      </c>
      <c r="AC27" s="10">
        <v>1334.0145</v>
      </c>
      <c r="AD27" s="10">
        <v>0</v>
      </c>
      <c r="AE27" s="10">
        <v>842.29</v>
      </c>
      <c r="AF27" s="10">
        <v>890.45444999999961</v>
      </c>
      <c r="AG27" s="10">
        <v>0</v>
      </c>
      <c r="AH27" s="10">
        <v>270.25</v>
      </c>
      <c r="AI27" s="10">
        <v>1024.8165000000001</v>
      </c>
      <c r="AJ27" s="10">
        <v>2097.5464875000002</v>
      </c>
      <c r="AK27" s="10">
        <v>786.72937500000046</v>
      </c>
      <c r="AL27" s="10">
        <v>702.07499999999993</v>
      </c>
      <c r="AM27" s="10">
        <v>1824.8849999999991</v>
      </c>
      <c r="AN27" s="10">
        <v>1575.7237499999994</v>
      </c>
      <c r="AO27" s="51">
        <f>SUM(AC27:AN27)</f>
        <v>11348.785062499999</v>
      </c>
    </row>
    <row r="28" spans="1:41" ht="15" customHeight="1" x14ac:dyDescent="0.2">
      <c r="C28" s="10"/>
      <c r="D28" s="10"/>
      <c r="E28" s="10"/>
      <c r="F28" s="10"/>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row>
    <row r="29" spans="1:41" ht="15" customHeight="1" x14ac:dyDescent="0.2">
      <c r="B29" s="37" t="s">
        <v>54</v>
      </c>
      <c r="C29" s="51">
        <f t="shared" ref="C29:AO29" ca="1" si="11">SUM(C24,-C26,-C27)</f>
        <v>-713.75</v>
      </c>
      <c r="D29" s="51">
        <f t="shared" ca="1" si="11"/>
        <v>-791.25</v>
      </c>
      <c r="E29" s="51">
        <f t="shared" ca="1" si="11"/>
        <v>-1578.75</v>
      </c>
      <c r="F29" s="51">
        <f t="shared" ca="1" si="11"/>
        <v>-1831.25</v>
      </c>
      <c r="G29" s="51">
        <f t="shared" ca="1" si="11"/>
        <v>-833.375</v>
      </c>
      <c r="H29" s="51">
        <f t="shared" ca="1" si="11"/>
        <v>-2614.875</v>
      </c>
      <c r="I29" s="51">
        <f t="shared" ca="1" si="11"/>
        <v>-687.5</v>
      </c>
      <c r="J29" s="51">
        <f t="shared" ca="1" si="11"/>
        <v>-1060</v>
      </c>
      <c r="K29" s="51">
        <f t="shared" ca="1" si="11"/>
        <v>-4904.875</v>
      </c>
      <c r="L29" s="51">
        <f t="shared" ca="1" si="11"/>
        <v>-2361.25</v>
      </c>
      <c r="M29" s="51">
        <f t="shared" ca="1" si="11"/>
        <v>-1097.5</v>
      </c>
      <c r="N29" s="51">
        <f t="shared" ca="1" si="11"/>
        <v>-763.75</v>
      </c>
      <c r="O29" s="51">
        <f t="shared" ca="1" si="11"/>
        <v>-19238.125</v>
      </c>
      <c r="P29" s="51">
        <f t="shared" ca="1" si="11"/>
        <v>10190.81625</v>
      </c>
      <c r="Q29" s="51">
        <f t="shared" ca="1" si="11"/>
        <v>9072.3006999999998</v>
      </c>
      <c r="R29" s="51">
        <f t="shared" ca="1" si="11"/>
        <v>11102.617025</v>
      </c>
      <c r="S29" s="51">
        <f t="shared" ca="1" si="11"/>
        <v>11814.269050000001</v>
      </c>
      <c r="T29" s="51">
        <f t="shared" ca="1" si="11"/>
        <v>11410.549199999999</v>
      </c>
      <c r="U29" s="51">
        <f t="shared" ca="1" si="11"/>
        <v>8099.0147000000006</v>
      </c>
      <c r="V29" s="51">
        <f t="shared" ca="1" si="11"/>
        <v>10516.06575</v>
      </c>
      <c r="W29" s="51">
        <f t="shared" ca="1" si="11"/>
        <v>10715.564624999999</v>
      </c>
      <c r="X29" s="51">
        <f t="shared" ca="1" si="11"/>
        <v>10204.711600000001</v>
      </c>
      <c r="Y29" s="51">
        <f t="shared" ca="1" si="11"/>
        <v>9354.1625000000022</v>
      </c>
      <c r="Z29" s="51">
        <f t="shared" ca="1" si="11"/>
        <v>12376.47825</v>
      </c>
      <c r="AA29" s="51">
        <f t="shared" ca="1" si="11"/>
        <v>11419.1877</v>
      </c>
      <c r="AB29" s="51">
        <f t="shared" ca="1" si="11"/>
        <v>126275.73734999998</v>
      </c>
      <c r="AC29" s="51">
        <f t="shared" ca="1" si="11"/>
        <v>11569.950500000001</v>
      </c>
      <c r="AD29" s="51">
        <f t="shared" ca="1" si="11"/>
        <v>10010.278750000001</v>
      </c>
      <c r="AE29" s="51">
        <f t="shared" ca="1" si="11"/>
        <v>11314.81625</v>
      </c>
      <c r="AF29" s="51">
        <f t="shared" ca="1" si="11"/>
        <v>13615.60205</v>
      </c>
      <c r="AG29" s="51">
        <f t="shared" ca="1" si="11"/>
        <v>8115.1759999999995</v>
      </c>
      <c r="AH29" s="51">
        <f t="shared" ca="1" si="11"/>
        <v>15918.530000000002</v>
      </c>
      <c r="AI29" s="51">
        <f t="shared" ca="1" si="11"/>
        <v>13753.863499999999</v>
      </c>
      <c r="AJ29" s="51">
        <f t="shared" ca="1" si="11"/>
        <v>13605.150137500001</v>
      </c>
      <c r="AK29" s="51">
        <f t="shared" ca="1" si="11"/>
        <v>10770.326875000001</v>
      </c>
      <c r="AL29" s="51">
        <f t="shared" ca="1" si="11"/>
        <v>10846.8</v>
      </c>
      <c r="AM29" s="51">
        <f t="shared" ca="1" si="11"/>
        <v>13043.689999999999</v>
      </c>
      <c r="AN29" s="51">
        <f t="shared" ca="1" si="11"/>
        <v>12487.438749999999</v>
      </c>
      <c r="AO29" s="51">
        <f t="shared" ca="1" si="11"/>
        <v>145051.62281249999</v>
      </c>
    </row>
    <row r="30" spans="1:41" ht="15" customHeight="1" x14ac:dyDescent="0.2">
      <c r="B30" s="37"/>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row>
    <row r="31" spans="1:41" ht="15" customHeight="1" x14ac:dyDescent="0.2">
      <c r="B31" s="37"/>
      <c r="C31" s="55"/>
      <c r="D31" s="55"/>
      <c r="E31" s="55"/>
      <c r="F31" s="55"/>
      <c r="G31" s="55"/>
      <c r="H31" s="55"/>
      <c r="I31" s="55"/>
      <c r="J31" s="55"/>
      <c r="K31" s="55"/>
      <c r="L31" s="55"/>
      <c r="M31" s="55"/>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row>
    <row r="32" spans="1:41" ht="15.75" x14ac:dyDescent="0.25">
      <c r="B32" s="5" t="str">
        <f>Assumptions!$B$4</f>
        <v>TALK Toastmasters Manurewa</v>
      </c>
    </row>
    <row r="33" spans="2:41" ht="15" customHeight="1" x14ac:dyDescent="0.2">
      <c r="B33" s="8" t="s">
        <v>78</v>
      </c>
    </row>
    <row r="34" spans="2:41" ht="15" customHeight="1" x14ac:dyDescent="0.2">
      <c r="B34" s="38"/>
    </row>
    <row r="35" spans="2:41" s="44" customFormat="1" ht="18" customHeight="1" x14ac:dyDescent="0.2">
      <c r="B35" s="45"/>
      <c r="C35" s="46">
        <f ca="1">IF(ISBLANK(Assumptions!$B$5)=TRUE,DATE(YEAR(TODAY()),MONTH(TODAY())+1,0),DATE(YEAR(Assumptions!$B$5),MONTH(Assumptions!$B$5)+1,0))</f>
        <v>45869</v>
      </c>
      <c r="D35" s="46">
        <f t="shared" ref="D35:N35" ca="1" si="12">DATE(YEAR(C35),MONTH(C35)+2,0)</f>
        <v>45900</v>
      </c>
      <c r="E35" s="46">
        <f t="shared" ca="1" si="12"/>
        <v>45930</v>
      </c>
      <c r="F35" s="46">
        <f t="shared" ca="1" si="12"/>
        <v>45961</v>
      </c>
      <c r="G35" s="46">
        <f t="shared" ca="1" si="12"/>
        <v>45991</v>
      </c>
      <c r="H35" s="46">
        <f t="shared" ca="1" si="12"/>
        <v>46022</v>
      </c>
      <c r="I35" s="46">
        <f t="shared" ca="1" si="12"/>
        <v>46053</v>
      </c>
      <c r="J35" s="46">
        <f t="shared" ca="1" si="12"/>
        <v>46081</v>
      </c>
      <c r="K35" s="46">
        <f t="shared" ca="1" si="12"/>
        <v>46112</v>
      </c>
      <c r="L35" s="46">
        <f t="shared" ca="1" si="12"/>
        <v>46142</v>
      </c>
      <c r="M35" s="46">
        <f t="shared" ca="1" si="12"/>
        <v>46173</v>
      </c>
      <c r="N35" s="46">
        <f t="shared" ca="1" si="12"/>
        <v>46203</v>
      </c>
      <c r="O35" s="47" t="str">
        <f ca="1">"Year "&amp;YEAR(N35)</f>
        <v>Year 2026</v>
      </c>
      <c r="P35" s="46">
        <f ca="1">DATE(YEAR(N35),MONTH(N35)+2,0)</f>
        <v>46234</v>
      </c>
      <c r="Q35" s="46">
        <f t="shared" ref="Q35:AA35" ca="1" si="13">DATE(YEAR(P35),MONTH(P35)+2,0)</f>
        <v>46265</v>
      </c>
      <c r="R35" s="46">
        <f t="shared" ca="1" si="13"/>
        <v>46295</v>
      </c>
      <c r="S35" s="46">
        <f t="shared" ca="1" si="13"/>
        <v>46326</v>
      </c>
      <c r="T35" s="46">
        <f t="shared" ca="1" si="13"/>
        <v>46356</v>
      </c>
      <c r="U35" s="46">
        <f t="shared" ca="1" si="13"/>
        <v>46387</v>
      </c>
      <c r="V35" s="46">
        <f t="shared" ca="1" si="13"/>
        <v>46418</v>
      </c>
      <c r="W35" s="46">
        <f t="shared" ca="1" si="13"/>
        <v>46446</v>
      </c>
      <c r="X35" s="46">
        <f t="shared" ca="1" si="13"/>
        <v>46477</v>
      </c>
      <c r="Y35" s="46">
        <f t="shared" ca="1" si="13"/>
        <v>46507</v>
      </c>
      <c r="Z35" s="46">
        <f t="shared" ca="1" si="13"/>
        <v>46538</v>
      </c>
      <c r="AA35" s="46">
        <f t="shared" ca="1" si="13"/>
        <v>46568</v>
      </c>
      <c r="AB35" s="47" t="str">
        <f ca="1">"Year "&amp;YEAR(AA35)</f>
        <v>Year 2027</v>
      </c>
      <c r="AC35" s="46">
        <f ca="1">DATE(YEAR(AA35),MONTH(AA35)+2,0)</f>
        <v>46599</v>
      </c>
      <c r="AD35" s="46">
        <f t="shared" ref="AD35:AN35" ca="1" si="14">DATE(YEAR(AC35),MONTH(AC35)+2,0)</f>
        <v>46630</v>
      </c>
      <c r="AE35" s="46">
        <f t="shared" ca="1" si="14"/>
        <v>46660</v>
      </c>
      <c r="AF35" s="46">
        <f t="shared" ca="1" si="14"/>
        <v>46691</v>
      </c>
      <c r="AG35" s="46">
        <f t="shared" ca="1" si="14"/>
        <v>46721</v>
      </c>
      <c r="AH35" s="46">
        <f t="shared" ca="1" si="14"/>
        <v>46752</v>
      </c>
      <c r="AI35" s="46">
        <f t="shared" ca="1" si="14"/>
        <v>46783</v>
      </c>
      <c r="AJ35" s="46">
        <f t="shared" ca="1" si="14"/>
        <v>46812</v>
      </c>
      <c r="AK35" s="46">
        <f t="shared" ca="1" si="14"/>
        <v>46843</v>
      </c>
      <c r="AL35" s="46">
        <f t="shared" ca="1" si="14"/>
        <v>46873</v>
      </c>
      <c r="AM35" s="46">
        <f t="shared" ca="1" si="14"/>
        <v>46904</v>
      </c>
      <c r="AN35" s="46">
        <f t="shared" ca="1" si="14"/>
        <v>46934</v>
      </c>
      <c r="AO35" s="47" t="str">
        <f ca="1">"Year "&amp;YEAR(AN35)</f>
        <v>Year 2028</v>
      </c>
    </row>
    <row r="36" spans="2:41" ht="15" customHeight="1" x14ac:dyDescent="0.2">
      <c r="B36" s="37" t="s">
        <v>57</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row>
    <row r="37" spans="2:41" ht="15" customHeight="1" x14ac:dyDescent="0.2">
      <c r="B37" s="22" t="s">
        <v>54</v>
      </c>
      <c r="C37" s="10">
        <f ca="1">C29</f>
        <v>-713.75</v>
      </c>
      <c r="D37" s="10">
        <f t="shared" ref="D37:AN37" ca="1" si="15">D29</f>
        <v>-791.25</v>
      </c>
      <c r="E37" s="10">
        <f t="shared" ca="1" si="15"/>
        <v>-1578.75</v>
      </c>
      <c r="F37" s="10">
        <f t="shared" ca="1" si="15"/>
        <v>-1831.25</v>
      </c>
      <c r="G37" s="10">
        <f t="shared" ca="1" si="15"/>
        <v>-833.375</v>
      </c>
      <c r="H37" s="10">
        <f t="shared" ca="1" si="15"/>
        <v>-2614.875</v>
      </c>
      <c r="I37" s="10">
        <f t="shared" ca="1" si="15"/>
        <v>-687.5</v>
      </c>
      <c r="J37" s="10">
        <f t="shared" ca="1" si="15"/>
        <v>-1060</v>
      </c>
      <c r="K37" s="10">
        <f t="shared" ca="1" si="15"/>
        <v>-4904.875</v>
      </c>
      <c r="L37" s="10">
        <f t="shared" ca="1" si="15"/>
        <v>-2361.25</v>
      </c>
      <c r="M37" s="10">
        <f t="shared" ca="1" si="15"/>
        <v>-1097.5</v>
      </c>
      <c r="N37" s="10">
        <f t="shared" ca="1" si="15"/>
        <v>-763.75</v>
      </c>
      <c r="O37" s="10">
        <f ca="1">SUM(C37:N37)</f>
        <v>-19238.125</v>
      </c>
      <c r="P37" s="10">
        <f t="shared" ca="1" si="15"/>
        <v>10190.81625</v>
      </c>
      <c r="Q37" s="10">
        <f t="shared" ca="1" si="15"/>
        <v>9072.3006999999998</v>
      </c>
      <c r="R37" s="10">
        <f t="shared" ca="1" si="15"/>
        <v>11102.617025</v>
      </c>
      <c r="S37" s="10">
        <f t="shared" ca="1" si="15"/>
        <v>11814.269050000001</v>
      </c>
      <c r="T37" s="10">
        <f t="shared" ca="1" si="15"/>
        <v>11410.549199999999</v>
      </c>
      <c r="U37" s="10">
        <f t="shared" ca="1" si="15"/>
        <v>8099.0147000000006</v>
      </c>
      <c r="V37" s="10">
        <f t="shared" ca="1" si="15"/>
        <v>10516.06575</v>
      </c>
      <c r="W37" s="10">
        <f t="shared" ca="1" si="15"/>
        <v>10715.564624999999</v>
      </c>
      <c r="X37" s="10">
        <f t="shared" ca="1" si="15"/>
        <v>10204.711600000001</v>
      </c>
      <c r="Y37" s="10">
        <f t="shared" ca="1" si="15"/>
        <v>9354.1625000000022</v>
      </c>
      <c r="Z37" s="10">
        <f t="shared" ca="1" si="15"/>
        <v>12376.47825</v>
      </c>
      <c r="AA37" s="10">
        <f t="shared" ca="1" si="15"/>
        <v>11419.1877</v>
      </c>
      <c r="AB37" s="10">
        <f ca="1">SUM(P37:AA37)</f>
        <v>126275.73735</v>
      </c>
      <c r="AC37" s="10">
        <f t="shared" ca="1" si="15"/>
        <v>11569.950500000001</v>
      </c>
      <c r="AD37" s="10">
        <f t="shared" ca="1" si="15"/>
        <v>10010.278750000001</v>
      </c>
      <c r="AE37" s="10">
        <f t="shared" ca="1" si="15"/>
        <v>11314.81625</v>
      </c>
      <c r="AF37" s="10">
        <f t="shared" ca="1" si="15"/>
        <v>13615.60205</v>
      </c>
      <c r="AG37" s="10">
        <f t="shared" ca="1" si="15"/>
        <v>8115.1759999999995</v>
      </c>
      <c r="AH37" s="10">
        <f t="shared" ca="1" si="15"/>
        <v>15918.530000000002</v>
      </c>
      <c r="AI37" s="10">
        <f t="shared" ca="1" si="15"/>
        <v>13753.863499999999</v>
      </c>
      <c r="AJ37" s="10">
        <f t="shared" ca="1" si="15"/>
        <v>13605.150137500001</v>
      </c>
      <c r="AK37" s="10">
        <f t="shared" ca="1" si="15"/>
        <v>10770.326875000001</v>
      </c>
      <c r="AL37" s="10">
        <f t="shared" ca="1" si="15"/>
        <v>10846.8</v>
      </c>
      <c r="AM37" s="10">
        <f t="shared" ca="1" si="15"/>
        <v>13043.689999999999</v>
      </c>
      <c r="AN37" s="10">
        <f t="shared" ca="1" si="15"/>
        <v>12487.438749999999</v>
      </c>
      <c r="AO37" s="10">
        <f ca="1">SUM(AC37:AN37)</f>
        <v>145051.62281249999</v>
      </c>
    </row>
    <row r="38" spans="2:41" ht="15" customHeight="1" x14ac:dyDescent="0.2">
      <c r="B38" s="22" t="s">
        <v>23</v>
      </c>
      <c r="C38" s="10">
        <f>C26</f>
        <v>0</v>
      </c>
      <c r="D38" s="10">
        <f t="shared" ref="D38:AN38" si="16">D26</f>
        <v>0</v>
      </c>
      <c r="E38" s="10">
        <f t="shared" si="16"/>
        <v>0</v>
      </c>
      <c r="F38" s="10">
        <f t="shared" si="16"/>
        <v>0</v>
      </c>
      <c r="G38" s="10">
        <f t="shared" si="16"/>
        <v>0</v>
      </c>
      <c r="H38" s="10">
        <f t="shared" si="16"/>
        <v>0</v>
      </c>
      <c r="I38" s="10">
        <f t="shared" si="16"/>
        <v>0</v>
      </c>
      <c r="J38" s="10">
        <f t="shared" si="16"/>
        <v>0</v>
      </c>
      <c r="K38" s="10">
        <f t="shared" si="16"/>
        <v>0</v>
      </c>
      <c r="L38" s="10">
        <f t="shared" si="16"/>
        <v>0</v>
      </c>
      <c r="M38" s="10">
        <f t="shared" si="16"/>
        <v>0</v>
      </c>
      <c r="N38" s="10">
        <f t="shared" si="16"/>
        <v>0</v>
      </c>
      <c r="O38" s="10">
        <f>SUM(C38:N38)</f>
        <v>0</v>
      </c>
      <c r="P38" s="10">
        <f t="shared" si="16"/>
        <v>1043.625</v>
      </c>
      <c r="Q38" s="10">
        <f t="shared" si="16"/>
        <v>1026</v>
      </c>
      <c r="R38" s="10">
        <f t="shared" si="16"/>
        <v>1008.25</v>
      </c>
      <c r="S38" s="10">
        <f t="shared" si="16"/>
        <v>1052.875</v>
      </c>
      <c r="T38" s="10">
        <f t="shared" si="16"/>
        <v>1033.875</v>
      </c>
      <c r="U38" s="10">
        <f t="shared" si="16"/>
        <v>1014.875</v>
      </c>
      <c r="V38" s="10">
        <f t="shared" si="16"/>
        <v>995.625</v>
      </c>
      <c r="W38" s="10">
        <f t="shared" si="16"/>
        <v>976.25</v>
      </c>
      <c r="X38" s="10">
        <f t="shared" si="16"/>
        <v>956.75</v>
      </c>
      <c r="Y38" s="10">
        <f t="shared" si="16"/>
        <v>937.125</v>
      </c>
      <c r="Z38" s="10">
        <f t="shared" si="16"/>
        <v>917.25</v>
      </c>
      <c r="AA38" s="10">
        <f t="shared" si="16"/>
        <v>897.25</v>
      </c>
      <c r="AB38" s="10">
        <f>SUM(P38:AA38)</f>
        <v>11859.75</v>
      </c>
      <c r="AC38" s="10">
        <f t="shared" si="16"/>
        <v>877</v>
      </c>
      <c r="AD38" s="10">
        <f t="shared" si="16"/>
        <v>856.625</v>
      </c>
      <c r="AE38" s="10">
        <f t="shared" si="16"/>
        <v>836.125</v>
      </c>
      <c r="AF38" s="10">
        <f t="shared" si="16"/>
        <v>815.375</v>
      </c>
      <c r="AG38" s="10">
        <f t="shared" si="16"/>
        <v>877.875</v>
      </c>
      <c r="AH38" s="10">
        <f t="shared" si="16"/>
        <v>855.75</v>
      </c>
      <c r="AI38" s="10">
        <f t="shared" si="16"/>
        <v>833.5</v>
      </c>
      <c r="AJ38" s="10">
        <f t="shared" si="16"/>
        <v>811</v>
      </c>
      <c r="AK38" s="10">
        <f t="shared" si="16"/>
        <v>788.25</v>
      </c>
      <c r="AL38" s="10">
        <f t="shared" si="16"/>
        <v>765.375</v>
      </c>
      <c r="AM38" s="10">
        <f t="shared" si="16"/>
        <v>773.625</v>
      </c>
      <c r="AN38" s="10">
        <f t="shared" si="16"/>
        <v>750</v>
      </c>
      <c r="AO38" s="10">
        <f>SUM(AC38:AN38)</f>
        <v>9840.5</v>
      </c>
    </row>
    <row r="39" spans="2:41" ht="15" customHeight="1" x14ac:dyDescent="0.2">
      <c r="B39" s="22" t="s">
        <v>17</v>
      </c>
      <c r="C39" s="10">
        <f>C27</f>
        <v>0</v>
      </c>
      <c r="D39" s="10">
        <f t="shared" ref="D39:AN39" si="17">D27</f>
        <v>0</v>
      </c>
      <c r="E39" s="10">
        <f t="shared" si="17"/>
        <v>0</v>
      </c>
      <c r="F39" s="10">
        <f t="shared" si="17"/>
        <v>0</v>
      </c>
      <c r="G39" s="10">
        <f t="shared" si="17"/>
        <v>0</v>
      </c>
      <c r="H39" s="10">
        <f t="shared" si="17"/>
        <v>0</v>
      </c>
      <c r="I39" s="10">
        <f t="shared" si="17"/>
        <v>0</v>
      </c>
      <c r="J39" s="10">
        <f t="shared" si="17"/>
        <v>0</v>
      </c>
      <c r="K39" s="10">
        <f t="shared" si="17"/>
        <v>0</v>
      </c>
      <c r="L39" s="10">
        <f t="shared" si="17"/>
        <v>0</v>
      </c>
      <c r="M39" s="10">
        <f t="shared" si="17"/>
        <v>0</v>
      </c>
      <c r="N39" s="10">
        <f t="shared" si="17"/>
        <v>0</v>
      </c>
      <c r="O39" s="10">
        <f>SUM(C39:N39)</f>
        <v>0</v>
      </c>
      <c r="P39" s="10">
        <f t="shared" si="17"/>
        <v>1573.4212500000003</v>
      </c>
      <c r="Q39" s="10">
        <f t="shared" si="17"/>
        <v>687.07530000000008</v>
      </c>
      <c r="R39" s="10">
        <f t="shared" si="17"/>
        <v>1933.2287249999999</v>
      </c>
      <c r="S39" s="10">
        <f t="shared" si="17"/>
        <v>1481.47245</v>
      </c>
      <c r="T39" s="10">
        <f t="shared" si="17"/>
        <v>2060.4317999999998</v>
      </c>
      <c r="U39" s="10">
        <f t="shared" si="17"/>
        <v>268.13130000000018</v>
      </c>
      <c r="V39" s="10">
        <f t="shared" si="17"/>
        <v>427.58174999999972</v>
      </c>
      <c r="W39" s="10">
        <f t="shared" si="17"/>
        <v>396.3491249999999</v>
      </c>
      <c r="X39" s="10">
        <f t="shared" si="17"/>
        <v>1491.6263999999999</v>
      </c>
      <c r="Y39" s="10">
        <f t="shared" si="17"/>
        <v>0</v>
      </c>
      <c r="Z39" s="10">
        <f t="shared" si="17"/>
        <v>1879.77</v>
      </c>
      <c r="AA39" s="10">
        <f t="shared" si="17"/>
        <v>2024.5982999999999</v>
      </c>
      <c r="AB39" s="10">
        <f>SUM(P39:AA39)</f>
        <v>14223.686400000001</v>
      </c>
      <c r="AC39" s="10">
        <f t="shared" si="17"/>
        <v>1334.0145</v>
      </c>
      <c r="AD39" s="10">
        <f t="shared" si="17"/>
        <v>0</v>
      </c>
      <c r="AE39" s="10">
        <f t="shared" si="17"/>
        <v>842.29</v>
      </c>
      <c r="AF39" s="10">
        <f t="shared" si="17"/>
        <v>890.45444999999961</v>
      </c>
      <c r="AG39" s="10">
        <f t="shared" si="17"/>
        <v>0</v>
      </c>
      <c r="AH39" s="10">
        <f t="shared" si="17"/>
        <v>270.25</v>
      </c>
      <c r="AI39" s="10">
        <f t="shared" si="17"/>
        <v>1024.8165000000001</v>
      </c>
      <c r="AJ39" s="10">
        <f t="shared" si="17"/>
        <v>2097.5464875000002</v>
      </c>
      <c r="AK39" s="10">
        <f t="shared" si="17"/>
        <v>786.72937500000046</v>
      </c>
      <c r="AL39" s="10">
        <f t="shared" si="17"/>
        <v>702.07499999999993</v>
      </c>
      <c r="AM39" s="10">
        <f t="shared" si="17"/>
        <v>1824.8849999999991</v>
      </c>
      <c r="AN39" s="10">
        <f t="shared" si="17"/>
        <v>1575.7237499999994</v>
      </c>
      <c r="AO39" s="10">
        <f>SUM(AC39:AN39)</f>
        <v>11348.785062499999</v>
      </c>
    </row>
    <row r="40" spans="2:41" ht="15" customHeight="1" x14ac:dyDescent="0.2">
      <c r="B40" s="8" t="s">
        <v>58</v>
      </c>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row>
    <row r="41" spans="2:41" ht="15" customHeight="1" x14ac:dyDescent="0.2">
      <c r="B41" s="9" t="s">
        <v>53</v>
      </c>
      <c r="C41" s="10">
        <f t="shared" ref="C41:N41" si="18">C22</f>
        <v>0</v>
      </c>
      <c r="D41" s="10">
        <f t="shared" si="18"/>
        <v>0</v>
      </c>
      <c r="E41" s="10">
        <f t="shared" si="18"/>
        <v>0</v>
      </c>
      <c r="F41" s="10">
        <f t="shared" si="18"/>
        <v>0</v>
      </c>
      <c r="G41" s="10">
        <f t="shared" si="18"/>
        <v>0</v>
      </c>
      <c r="H41" s="10">
        <f t="shared" si="18"/>
        <v>0</v>
      </c>
      <c r="I41" s="10">
        <f t="shared" si="18"/>
        <v>0</v>
      </c>
      <c r="J41" s="10">
        <f t="shared" si="18"/>
        <v>0</v>
      </c>
      <c r="K41" s="10">
        <f t="shared" si="18"/>
        <v>0</v>
      </c>
      <c r="L41" s="10">
        <f t="shared" si="18"/>
        <v>0</v>
      </c>
      <c r="M41" s="10">
        <f t="shared" si="18"/>
        <v>0</v>
      </c>
      <c r="N41" s="10">
        <f t="shared" si="18"/>
        <v>0</v>
      </c>
      <c r="O41" s="10">
        <f>SUM(C41:N41)</f>
        <v>0</v>
      </c>
      <c r="P41" s="10">
        <f t="shared" ref="P41:AA41" si="19">P22</f>
        <v>1712.5</v>
      </c>
      <c r="Q41" s="10">
        <f t="shared" si="19"/>
        <v>1712.5</v>
      </c>
      <c r="R41" s="10">
        <f t="shared" si="19"/>
        <v>1712.5</v>
      </c>
      <c r="S41" s="10">
        <f t="shared" si="19"/>
        <v>1712.5</v>
      </c>
      <c r="T41" s="10">
        <f t="shared" si="19"/>
        <v>1712.5</v>
      </c>
      <c r="U41" s="10">
        <f t="shared" si="19"/>
        <v>1712.5</v>
      </c>
      <c r="V41" s="10">
        <f t="shared" si="19"/>
        <v>1712.5</v>
      </c>
      <c r="W41" s="10">
        <f t="shared" si="19"/>
        <v>1775</v>
      </c>
      <c r="X41" s="10">
        <f t="shared" si="19"/>
        <v>1775</v>
      </c>
      <c r="Y41" s="10">
        <f t="shared" si="19"/>
        <v>1775</v>
      </c>
      <c r="Z41" s="10">
        <f t="shared" si="19"/>
        <v>1775</v>
      </c>
      <c r="AA41" s="10">
        <f t="shared" si="19"/>
        <v>1775</v>
      </c>
      <c r="AB41" s="10">
        <f>SUM(P41:AA41)</f>
        <v>20862.5</v>
      </c>
      <c r="AC41" s="10">
        <f t="shared" ref="AC41:AN41" si="20">AC22</f>
        <v>1425</v>
      </c>
      <c r="AD41" s="10">
        <f t="shared" si="20"/>
        <v>1600</v>
      </c>
      <c r="AE41" s="10">
        <f t="shared" si="20"/>
        <v>1600</v>
      </c>
      <c r="AF41" s="10">
        <f t="shared" si="20"/>
        <v>1600</v>
      </c>
      <c r="AG41" s="10">
        <f t="shared" si="20"/>
        <v>1600</v>
      </c>
      <c r="AH41" s="10">
        <f t="shared" si="20"/>
        <v>1600</v>
      </c>
      <c r="AI41" s="10">
        <f t="shared" si="20"/>
        <v>1600</v>
      </c>
      <c r="AJ41" s="10">
        <f t="shared" si="20"/>
        <v>1600</v>
      </c>
      <c r="AK41" s="10">
        <f t="shared" si="20"/>
        <v>1600</v>
      </c>
      <c r="AL41" s="10">
        <f t="shared" si="20"/>
        <v>1787.5</v>
      </c>
      <c r="AM41" s="10">
        <f t="shared" si="20"/>
        <v>1787.5</v>
      </c>
      <c r="AN41" s="10">
        <f t="shared" si="20"/>
        <v>1787.5</v>
      </c>
      <c r="AO41" s="10">
        <f>SUM(AC41:AN41)</f>
        <v>19587.5</v>
      </c>
    </row>
    <row r="42" spans="2:41" ht="15" customHeight="1" x14ac:dyDescent="0.2">
      <c r="B42" s="8" t="s">
        <v>59</v>
      </c>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row>
    <row r="43" spans="2:41" s="23" customFormat="1" ht="15" customHeight="1" x14ac:dyDescent="0.2">
      <c r="B43" s="22" t="s">
        <v>5</v>
      </c>
      <c r="C43" s="10">
        <f>BalanceSheets!C31-BalanceSheets!D31</f>
        <v>-19500</v>
      </c>
      <c r="D43" s="10">
        <f>BalanceSheets!D31-BalanceSheets!E31</f>
        <v>-3000</v>
      </c>
      <c r="E43" s="10">
        <f>BalanceSheets!E31-BalanceSheets!F31</f>
        <v>1875</v>
      </c>
      <c r="F43" s="10">
        <f>BalanceSheets!F31-BalanceSheets!G31</f>
        <v>-775</v>
      </c>
      <c r="G43" s="10">
        <f>BalanceSheets!G31-BalanceSheets!H31</f>
        <v>2025</v>
      </c>
      <c r="H43" s="10">
        <f>BalanceSheets!H31-BalanceSheets!I31</f>
        <v>-1250</v>
      </c>
      <c r="I43" s="10">
        <f>BalanceSheets!I31-BalanceSheets!J31</f>
        <v>-1625</v>
      </c>
      <c r="J43" s="10">
        <f>BalanceSheets!J31-BalanceSheets!K31</f>
        <v>3250</v>
      </c>
      <c r="K43" s="10">
        <f>BalanceSheets!K31-BalanceSheets!L31</f>
        <v>-2250</v>
      </c>
      <c r="L43" s="10">
        <f>BalanceSheets!L31-BalanceSheets!M31</f>
        <v>0</v>
      </c>
      <c r="M43" s="10">
        <f>BalanceSheets!M31-BalanceSheets!N31</f>
        <v>-625</v>
      </c>
      <c r="N43" s="10">
        <f>BalanceSheets!N31-BalanceSheets!O31</f>
        <v>1875</v>
      </c>
      <c r="O43" s="10">
        <f>SUM(C43:N43)</f>
        <v>-20000</v>
      </c>
      <c r="P43" s="10">
        <f>BalanceSheets!O31-BalanceSheets!P31</f>
        <v>-2250</v>
      </c>
      <c r="Q43" s="10">
        <f>BalanceSheets!P31-BalanceSheets!Q31</f>
        <v>1600</v>
      </c>
      <c r="R43" s="10">
        <f>BalanceSheets!Q31-BalanceSheets!R31</f>
        <v>-1378.75</v>
      </c>
      <c r="S43" s="10">
        <f>BalanceSheets!R31-BalanceSheets!S31</f>
        <v>-1721.25</v>
      </c>
      <c r="T43" s="10">
        <f>BalanceSheets!S31-BalanceSheets!T31</f>
        <v>1387.5</v>
      </c>
      <c r="U43" s="10">
        <f>BalanceSheets!T31-BalanceSheets!U31</f>
        <v>1712.5</v>
      </c>
      <c r="V43" s="10">
        <f>BalanceSheets!U31-BalanceSheets!V31</f>
        <v>-975</v>
      </c>
      <c r="W43" s="10">
        <f>BalanceSheets!V31-BalanceSheets!W31</f>
        <v>-375</v>
      </c>
      <c r="X43" s="10">
        <f>BalanceSheets!W31-BalanceSheets!X31</f>
        <v>325</v>
      </c>
      <c r="Y43" s="10">
        <f>BalanceSheets!X31-BalanceSheets!Y31</f>
        <v>-862.5</v>
      </c>
      <c r="Z43" s="10">
        <f>BalanceSheets!Y31-BalanceSheets!Z31</f>
        <v>-912.5</v>
      </c>
      <c r="AA43" s="10">
        <f>BalanceSheets!Z31-BalanceSheets!AA31</f>
        <v>1907.5</v>
      </c>
      <c r="AB43" s="10">
        <f>SUM(P43:AA43)</f>
        <v>-1542.5</v>
      </c>
      <c r="AC43" s="10">
        <f>BalanceSheets!AA31-BalanceSheets!AB31</f>
        <v>-1832.5</v>
      </c>
      <c r="AD43" s="10">
        <f>BalanceSheets!AB31-BalanceSheets!AC31</f>
        <v>975</v>
      </c>
      <c r="AE43" s="10">
        <f>BalanceSheets!AC31-BalanceSheets!AD31</f>
        <v>1237.5</v>
      </c>
      <c r="AF43" s="10">
        <f>BalanceSheets!AD31-BalanceSheets!AE31</f>
        <v>-1712.5</v>
      </c>
      <c r="AG43" s="10">
        <f>BalanceSheets!AE31-BalanceSheets!AF31</f>
        <v>975</v>
      </c>
      <c r="AH43" s="10">
        <f>BalanceSheets!AF31-BalanceSheets!AG31</f>
        <v>-900</v>
      </c>
      <c r="AI43" s="10">
        <f>BalanceSheets!AG31-BalanceSheets!AH31</f>
        <v>-2062.5</v>
      </c>
      <c r="AJ43" s="10">
        <f>BalanceSheets!AH31-BalanceSheets!AI31</f>
        <v>1362.5</v>
      </c>
      <c r="AK43" s="10">
        <f>BalanceSheets!AI31-BalanceSheets!AJ31</f>
        <v>-500</v>
      </c>
      <c r="AL43" s="10">
        <f>BalanceSheets!AJ31-BalanceSheets!AK31</f>
        <v>596.25</v>
      </c>
      <c r="AM43" s="10">
        <f>BalanceSheets!AK31-BalanceSheets!AL31</f>
        <v>1291.25</v>
      </c>
      <c r="AN43" s="10">
        <f>BalanceSheets!AL31-BalanceSheets!AM31</f>
        <v>-1791.25</v>
      </c>
      <c r="AO43" s="10">
        <f>SUM(AC43:AN43)</f>
        <v>-2361.25</v>
      </c>
    </row>
    <row r="44" spans="2:41" s="23" customFormat="1" ht="15" customHeight="1" x14ac:dyDescent="0.2">
      <c r="B44" s="22" t="s">
        <v>60</v>
      </c>
      <c r="C44" s="10">
        <f>BalanceSheets!C32-BalanceSheets!D32</f>
        <v>-36287.5</v>
      </c>
      <c r="D44" s="10">
        <f>BalanceSheets!D32-BalanceSheets!E32</f>
        <v>-1962.5</v>
      </c>
      <c r="E44" s="10">
        <f>BalanceSheets!E32-BalanceSheets!F32</f>
        <v>-1125</v>
      </c>
      <c r="F44" s="10">
        <f>BalanceSheets!F32-BalanceSheets!G32</f>
        <v>-500</v>
      </c>
      <c r="G44" s="10">
        <f>BalanceSheets!G32-BalanceSheets!H32</f>
        <v>2249.75</v>
      </c>
      <c r="H44" s="10">
        <f>BalanceSheets!H32-BalanceSheets!I32</f>
        <v>-962.25</v>
      </c>
      <c r="I44" s="10">
        <f>BalanceSheets!I32-BalanceSheets!J32</f>
        <v>-4023.75</v>
      </c>
      <c r="J44" s="10">
        <f>BalanceSheets!J32-BalanceSheets!K32</f>
        <v>4864.75</v>
      </c>
      <c r="K44" s="10">
        <f>BalanceSheets!K32-BalanceSheets!L32</f>
        <v>-2876.875</v>
      </c>
      <c r="L44" s="10">
        <f>BalanceSheets!L32-BalanceSheets!M32</f>
        <v>-125</v>
      </c>
      <c r="M44" s="10">
        <f>BalanceSheets!M32-BalanceSheets!N32</f>
        <v>-389.875</v>
      </c>
      <c r="N44" s="10">
        <f>BalanceSheets!N32-BalanceSheets!O32</f>
        <v>3675.75</v>
      </c>
      <c r="O44" s="10">
        <f>SUM(C44:N44)</f>
        <v>-37462.5</v>
      </c>
      <c r="P44" s="10">
        <f>BalanceSheets!O32-BalanceSheets!P32</f>
        <v>-4491.25</v>
      </c>
      <c r="Q44" s="10">
        <f>BalanceSheets!P32-BalanceSheets!Q32</f>
        <v>2167.625</v>
      </c>
      <c r="R44" s="10">
        <f>BalanceSheets!Q32-BalanceSheets!R32</f>
        <v>-2962.375</v>
      </c>
      <c r="S44" s="10">
        <f>BalanceSheets!R32-BalanceSheets!S32</f>
        <v>-2387.5</v>
      </c>
      <c r="T44" s="10">
        <f>BalanceSheets!S32-BalanceSheets!T32</f>
        <v>1093.5</v>
      </c>
      <c r="U44" s="10">
        <f>BalanceSheets!T32-BalanceSheets!U32</f>
        <v>5183</v>
      </c>
      <c r="V44" s="10">
        <f>BalanceSheets!U32-BalanceSheets!V32</f>
        <v>-1085.875</v>
      </c>
      <c r="W44" s="10">
        <f>BalanceSheets!V32-BalanceSheets!W32</f>
        <v>-1467</v>
      </c>
      <c r="X44" s="10">
        <f>BalanceSheets!W32-BalanceSheets!X32</f>
        <v>-2487.625</v>
      </c>
      <c r="Y44" s="10">
        <f>BalanceSheets!X32-BalanceSheets!Y32</f>
        <v>537.5</v>
      </c>
      <c r="Z44" s="10">
        <f>BalanceSheets!Y32-BalanceSheets!Z32</f>
        <v>-1772.125</v>
      </c>
      <c r="AA44" s="10">
        <f>BalanceSheets!Z32-BalanceSheets!AA32</f>
        <v>498.375</v>
      </c>
      <c r="AB44" s="10">
        <f>SUM(P44:AA44)</f>
        <v>-7173.75</v>
      </c>
      <c r="AC44" s="10">
        <f>BalanceSheets!AA32-BalanceSheets!AB32</f>
        <v>-12.25</v>
      </c>
      <c r="AD44" s="10">
        <f>BalanceSheets!AB32-BalanceSheets!AC32</f>
        <v>1300.875</v>
      </c>
      <c r="AE44" s="10">
        <f>BalanceSheets!AC32-BalanceSheets!AD32</f>
        <v>-2302.375</v>
      </c>
      <c r="AF44" s="10">
        <f>BalanceSheets!AD32-BalanceSheets!AE32</f>
        <v>-1712.5</v>
      </c>
      <c r="AG44" s="10">
        <f>BalanceSheets!AE32-BalanceSheets!AF32</f>
        <v>2325</v>
      </c>
      <c r="AH44" s="10">
        <f>BalanceSheets!AF32-BalanceSheets!AG32</f>
        <v>-625</v>
      </c>
      <c r="AI44" s="10">
        <f>BalanceSheets!AG32-BalanceSheets!AH32</f>
        <v>-4068.75</v>
      </c>
      <c r="AJ44" s="10">
        <f>BalanceSheets!AH32-BalanceSheets!AI32</f>
        <v>2368.75</v>
      </c>
      <c r="AK44" s="10">
        <f>BalanceSheets!AI32-BalanceSheets!AJ32</f>
        <v>-1412.5</v>
      </c>
      <c r="AL44" s="10">
        <f>BalanceSheets!AJ32-BalanceSheets!AK32</f>
        <v>1247.75</v>
      </c>
      <c r="AM44" s="10">
        <f>BalanceSheets!AK32-BalanceSheets!AL32</f>
        <v>-1257.75</v>
      </c>
      <c r="AN44" s="10">
        <f>BalanceSheets!AL32-BalanceSheets!AM32</f>
        <v>1860</v>
      </c>
      <c r="AO44" s="10">
        <f>SUM(AC44:AN44)</f>
        <v>-2288.75</v>
      </c>
    </row>
    <row r="45" spans="2:41" s="23" customFormat="1" ht="15" customHeight="1" x14ac:dyDescent="0.2">
      <c r="B45" s="22" t="s">
        <v>61</v>
      </c>
      <c r="C45" s="10">
        <f>BalanceSheets!D40-BalanceSheets!C40+BalanceSheets!D41-BalanceSheets!C41</f>
        <v>14047.5</v>
      </c>
      <c r="D45" s="10">
        <f>BalanceSheets!E40-BalanceSheets!D40+BalanceSheets!E41-BalanceSheets!D41</f>
        <v>-1547.375</v>
      </c>
      <c r="E45" s="10">
        <f>BalanceSheets!F40-BalanceSheets!E40+BalanceSheets!F41-BalanceSheets!E41</f>
        <v>-1332</v>
      </c>
      <c r="F45" s="10">
        <f>BalanceSheets!G40-BalanceSheets!F40+BalanceSheets!G41-BalanceSheets!F41</f>
        <v>-1336.5</v>
      </c>
      <c r="G45" s="10">
        <f>BalanceSheets!H40-BalanceSheets!G40+BalanceSheets!H41-BalanceSheets!G41</f>
        <v>3029.5</v>
      </c>
      <c r="H45" s="10">
        <f>BalanceSheets!I40-BalanceSheets!H40+BalanceSheets!I41-BalanceSheets!H41</f>
        <v>913.875</v>
      </c>
      <c r="I45" s="10">
        <f>BalanceSheets!J40-BalanceSheets!I40+BalanceSheets!J41-BalanceSheets!I41</f>
        <v>-2871.25</v>
      </c>
      <c r="J45" s="10">
        <f>BalanceSheets!K40-BalanceSheets!J40+BalanceSheets!K41-BalanceSheets!J41</f>
        <v>3096.25</v>
      </c>
      <c r="K45" s="10">
        <f>BalanceSheets!L40-BalanceSheets!K40+BalanceSheets!L41-BalanceSheets!K41</f>
        <v>-2850</v>
      </c>
      <c r="L45" s="10">
        <f>BalanceSheets!M40-BalanceSheets!L40+BalanceSheets!M41-BalanceSheets!L41</f>
        <v>1782</v>
      </c>
      <c r="M45" s="10">
        <f>BalanceSheets!N40-BalanceSheets!M40+BalanceSheets!N41-BalanceSheets!M41</f>
        <v>2946.75</v>
      </c>
      <c r="N45" s="10">
        <f>BalanceSheets!O40-BalanceSheets!N40+BalanceSheets!O41-BalanceSheets!N41</f>
        <v>-1630.375</v>
      </c>
      <c r="O45" s="10">
        <f>SUM(C45:N45)</f>
        <v>14248.375</v>
      </c>
      <c r="P45" s="10">
        <f>BalanceSheets!P40-BalanceSheets!O40+BalanceSheets!P41-BalanceSheets!O41</f>
        <v>-1704.75</v>
      </c>
      <c r="Q45" s="10">
        <f>BalanceSheets!Q40-BalanceSheets!P40+BalanceSheets!Q41-BalanceSheets!P41</f>
        <v>5606.375</v>
      </c>
      <c r="R45" s="10">
        <f>BalanceSheets!R40-BalanceSheets!Q40+BalanceSheets!R41-BalanceSheets!Q41</f>
        <v>-5292.5</v>
      </c>
      <c r="S45" s="10">
        <f>BalanceSheets!S40-BalanceSheets!R40+BalanceSheets!S41-BalanceSheets!R41</f>
        <v>620.375</v>
      </c>
      <c r="T45" s="10">
        <f>BalanceSheets!T40-BalanceSheets!S40+BalanceSheets!T41-BalanceSheets!S41</f>
        <v>1902.125</v>
      </c>
      <c r="U45" s="10">
        <f>BalanceSheets!U40-BalanceSheets!T40+BalanceSheets!U41-BalanceSheets!T41</f>
        <v>631.25</v>
      </c>
      <c r="V45" s="10">
        <f>BalanceSheets!V40-BalanceSheets!U40+BalanceSheets!V41-BalanceSheets!U41</f>
        <v>374</v>
      </c>
      <c r="W45" s="10">
        <f>BalanceSheets!W40-BalanceSheets!V40+BalanceSheets!W41-BalanceSheets!V41</f>
        <v>-1419</v>
      </c>
      <c r="X45" s="10">
        <f>BalanceSheets!X40-BalanceSheets!W40+BalanceSheets!X41-BalanceSheets!W41</f>
        <v>542.5</v>
      </c>
      <c r="Y45" s="10">
        <f>BalanceSheets!Y40-BalanceSheets!X40+BalanceSheets!Y41-BalanceSheets!X41</f>
        <v>-1358.75</v>
      </c>
      <c r="Z45" s="10">
        <f>BalanceSheets!Z40-BalanceSheets!Y40+BalanceSheets!Z41-BalanceSheets!Y41</f>
        <v>503.75</v>
      </c>
      <c r="AA45" s="10">
        <f>BalanceSheets!AA40-BalanceSheets!Z40+BalanceSheets!AA41-BalanceSheets!Z41</f>
        <v>1851.25</v>
      </c>
      <c r="AB45" s="10">
        <f>SUM(P45:AA45)</f>
        <v>2256.625</v>
      </c>
      <c r="AC45" s="10">
        <f>BalanceSheets!AB40-BalanceSheets!AA40+BalanceSheets!AB41-BalanceSheets!AA41</f>
        <v>1380</v>
      </c>
      <c r="AD45" s="10">
        <f>BalanceSheets!AC40-BalanceSheets!AB40+BalanceSheets!AC41-BalanceSheets!AB41</f>
        <v>-4259</v>
      </c>
      <c r="AE45" s="10">
        <f>BalanceSheets!AD40-BalanceSheets!AC40+BalanceSheets!AD41-BalanceSheets!AC41</f>
        <v>2882.75</v>
      </c>
      <c r="AF45" s="10">
        <f>BalanceSheets!AE40-BalanceSheets!AD40+BalanceSheets!AE41-BalanceSheets!AD41</f>
        <v>891.25</v>
      </c>
      <c r="AG45" s="10">
        <f>BalanceSheets!AF40-BalanceSheets!AE40+BalanceSheets!AF41-BalanceSheets!AE41</f>
        <v>-1602.5</v>
      </c>
      <c r="AH45" s="10">
        <f>BalanceSheets!AG40-BalanceSheets!AF40+BalanceSheets!AG41-BalanceSheets!AF41</f>
        <v>331.25</v>
      </c>
      <c r="AI45" s="10">
        <f>BalanceSheets!AH40-BalanceSheets!AG40+BalanceSheets!AH41-BalanceSheets!AG41</f>
        <v>1755</v>
      </c>
      <c r="AJ45" s="10">
        <f>BalanceSheets!AI40-BalanceSheets!AH40+BalanceSheets!AI41-BalanceSheets!AH41</f>
        <v>2770</v>
      </c>
      <c r="AK45" s="10">
        <f>BalanceSheets!AJ40-BalanceSheets!AI40+BalanceSheets!AJ41-BalanceSheets!AI41</f>
        <v>-4144.75</v>
      </c>
      <c r="AL45" s="10">
        <f>BalanceSheets!AK40-BalanceSheets!AJ40+BalanceSheets!AK41-BalanceSheets!AJ41</f>
        <v>352.875</v>
      </c>
      <c r="AM45" s="10">
        <f>BalanceSheets!AL40-BalanceSheets!AK40+BalanceSheets!AL41-BalanceSheets!AK41</f>
        <v>1136.25</v>
      </c>
      <c r="AN45" s="10">
        <f>BalanceSheets!AM40-BalanceSheets!AL40+BalanceSheets!AM41-BalanceSheets!AL41</f>
        <v>-2273.125</v>
      </c>
      <c r="AO45" s="10">
        <f>SUM(AC45:AN45)</f>
        <v>-780</v>
      </c>
    </row>
    <row r="46" spans="2:41" s="14" customFormat="1" ht="15" customHeight="1" x14ac:dyDescent="0.2">
      <c r="B46" s="8" t="s">
        <v>62</v>
      </c>
      <c r="C46" s="65">
        <f ca="1">SUM(C37:C45)</f>
        <v>-42453.75</v>
      </c>
      <c r="D46" s="65">
        <f t="shared" ref="D46:AO46" ca="1" si="21">SUM(D37:D45)</f>
        <v>-7301.125</v>
      </c>
      <c r="E46" s="65">
        <f t="shared" ca="1" si="21"/>
        <v>-2160.75</v>
      </c>
      <c r="F46" s="65">
        <f t="shared" ca="1" si="21"/>
        <v>-4442.75</v>
      </c>
      <c r="G46" s="65">
        <f t="shared" ca="1" si="21"/>
        <v>6470.875</v>
      </c>
      <c r="H46" s="65">
        <f t="shared" ca="1" si="21"/>
        <v>-3913.25</v>
      </c>
      <c r="I46" s="65">
        <f t="shared" ca="1" si="21"/>
        <v>-9207.5</v>
      </c>
      <c r="J46" s="65">
        <f t="shared" ca="1" si="21"/>
        <v>10151</v>
      </c>
      <c r="K46" s="65">
        <f t="shared" ca="1" si="21"/>
        <v>-12881.75</v>
      </c>
      <c r="L46" s="65">
        <f t="shared" ca="1" si="21"/>
        <v>-704.25</v>
      </c>
      <c r="M46" s="65">
        <f t="shared" ca="1" si="21"/>
        <v>834.375</v>
      </c>
      <c r="N46" s="65">
        <f t="shared" ca="1" si="21"/>
        <v>3156.625</v>
      </c>
      <c r="O46" s="65">
        <f t="shared" ca="1" si="21"/>
        <v>-62452.25</v>
      </c>
      <c r="P46" s="65">
        <f t="shared" ca="1" si="21"/>
        <v>6074.3624999999993</v>
      </c>
      <c r="Q46" s="65">
        <f t="shared" ca="1" si="21"/>
        <v>21871.876</v>
      </c>
      <c r="R46" s="65">
        <f t="shared" ca="1" si="21"/>
        <v>6122.9707500000004</v>
      </c>
      <c r="S46" s="65">
        <f t="shared" ca="1" si="21"/>
        <v>12572.7415</v>
      </c>
      <c r="T46" s="65">
        <f t="shared" ca="1" si="21"/>
        <v>20600.481</v>
      </c>
      <c r="U46" s="65">
        <f t="shared" ca="1" si="21"/>
        <v>18621.271000000001</v>
      </c>
      <c r="V46" s="65">
        <f t="shared" ca="1" si="21"/>
        <v>11964.897499999999</v>
      </c>
      <c r="W46" s="65">
        <f t="shared" ca="1" si="21"/>
        <v>10602.16375</v>
      </c>
      <c r="X46" s="65">
        <f t="shared" ca="1" si="21"/>
        <v>12807.963</v>
      </c>
      <c r="Y46" s="65">
        <f t="shared" ca="1" si="21"/>
        <v>10382.537500000002</v>
      </c>
      <c r="Z46" s="65">
        <f t="shared" ca="1" si="21"/>
        <v>14767.623250000001</v>
      </c>
      <c r="AA46" s="65">
        <f t="shared" ca="1" si="21"/>
        <v>20373.161</v>
      </c>
      <c r="AB46" s="65">
        <f t="shared" ca="1" si="21"/>
        <v>166762.04875000002</v>
      </c>
      <c r="AC46" s="65">
        <f t="shared" ca="1" si="21"/>
        <v>14741.215</v>
      </c>
      <c r="AD46" s="65">
        <f t="shared" ca="1" si="21"/>
        <v>10483.778750000001</v>
      </c>
      <c r="AE46" s="65">
        <f t="shared" ca="1" si="21"/>
        <v>16411.106250000001</v>
      </c>
      <c r="AF46" s="65">
        <f t="shared" ca="1" si="21"/>
        <v>14387.681499999999</v>
      </c>
      <c r="AG46" s="65">
        <f t="shared" ca="1" si="21"/>
        <v>12290.550999999999</v>
      </c>
      <c r="AH46" s="65">
        <f t="shared" ca="1" si="21"/>
        <v>17450.780000000002</v>
      </c>
      <c r="AI46" s="65">
        <f t="shared" ca="1" si="21"/>
        <v>12835.93</v>
      </c>
      <c r="AJ46" s="65">
        <f t="shared" ca="1" si="21"/>
        <v>24614.946625</v>
      </c>
      <c r="AK46" s="65">
        <f t="shared" ca="1" si="21"/>
        <v>7888.0562500000015</v>
      </c>
      <c r="AL46" s="65">
        <f t="shared" ca="1" si="21"/>
        <v>16298.625</v>
      </c>
      <c r="AM46" s="65">
        <f t="shared" ca="1" si="21"/>
        <v>18599.449999999997</v>
      </c>
      <c r="AN46" s="65">
        <f t="shared" ca="1" si="21"/>
        <v>14396.287499999999</v>
      </c>
      <c r="AO46" s="65">
        <f t="shared" ca="1" si="21"/>
        <v>180398.40787499998</v>
      </c>
    </row>
    <row r="47" spans="2:41" s="23" customFormat="1" ht="15" customHeight="1" x14ac:dyDescent="0.2">
      <c r="B47" s="9" t="s">
        <v>63</v>
      </c>
      <c r="C47" s="10">
        <f>-C38</f>
        <v>0</v>
      </c>
      <c r="D47" s="10">
        <f t="shared" ref="D47:N47" si="22">-D38</f>
        <v>0</v>
      </c>
      <c r="E47" s="10">
        <f t="shared" si="22"/>
        <v>0</v>
      </c>
      <c r="F47" s="10">
        <f t="shared" si="22"/>
        <v>0</v>
      </c>
      <c r="G47" s="10">
        <f t="shared" si="22"/>
        <v>0</v>
      </c>
      <c r="H47" s="10">
        <f t="shared" si="22"/>
        <v>0</v>
      </c>
      <c r="I47" s="10">
        <f t="shared" si="22"/>
        <v>0</v>
      </c>
      <c r="J47" s="10">
        <f t="shared" si="22"/>
        <v>0</v>
      </c>
      <c r="K47" s="10">
        <f t="shared" si="22"/>
        <v>0</v>
      </c>
      <c r="L47" s="10">
        <f t="shared" si="22"/>
        <v>0</v>
      </c>
      <c r="M47" s="10">
        <f t="shared" si="22"/>
        <v>0</v>
      </c>
      <c r="N47" s="10">
        <f t="shared" si="22"/>
        <v>0</v>
      </c>
      <c r="O47" s="10">
        <f>SUM(C47:N47)</f>
        <v>0</v>
      </c>
      <c r="P47" s="10">
        <f t="shared" ref="P47:AA47" si="23">-P38</f>
        <v>-1043.625</v>
      </c>
      <c r="Q47" s="10">
        <f t="shared" si="23"/>
        <v>-1026</v>
      </c>
      <c r="R47" s="10">
        <f t="shared" si="23"/>
        <v>-1008.25</v>
      </c>
      <c r="S47" s="10">
        <f t="shared" si="23"/>
        <v>-1052.875</v>
      </c>
      <c r="T47" s="10">
        <f t="shared" si="23"/>
        <v>-1033.875</v>
      </c>
      <c r="U47" s="10">
        <f t="shared" si="23"/>
        <v>-1014.875</v>
      </c>
      <c r="V47" s="10">
        <f t="shared" si="23"/>
        <v>-995.625</v>
      </c>
      <c r="W47" s="10">
        <f t="shared" si="23"/>
        <v>-976.25</v>
      </c>
      <c r="X47" s="10">
        <f t="shared" si="23"/>
        <v>-956.75</v>
      </c>
      <c r="Y47" s="10">
        <f t="shared" si="23"/>
        <v>-937.125</v>
      </c>
      <c r="Z47" s="10">
        <f t="shared" si="23"/>
        <v>-917.25</v>
      </c>
      <c r="AA47" s="10">
        <f t="shared" si="23"/>
        <v>-897.25</v>
      </c>
      <c r="AB47" s="10">
        <f>SUM(P47:AA47)</f>
        <v>-11859.75</v>
      </c>
      <c r="AC47" s="10">
        <f t="shared" ref="AC47:AN47" si="24">-AC38</f>
        <v>-877</v>
      </c>
      <c r="AD47" s="10">
        <f t="shared" si="24"/>
        <v>-856.625</v>
      </c>
      <c r="AE47" s="10">
        <f t="shared" si="24"/>
        <v>-836.125</v>
      </c>
      <c r="AF47" s="10">
        <f t="shared" si="24"/>
        <v>-815.375</v>
      </c>
      <c r="AG47" s="10">
        <f t="shared" si="24"/>
        <v>-877.875</v>
      </c>
      <c r="AH47" s="10">
        <f t="shared" si="24"/>
        <v>-855.75</v>
      </c>
      <c r="AI47" s="10">
        <f t="shared" si="24"/>
        <v>-833.5</v>
      </c>
      <c r="AJ47" s="10">
        <f t="shared" si="24"/>
        <v>-811</v>
      </c>
      <c r="AK47" s="10">
        <f t="shared" si="24"/>
        <v>-788.25</v>
      </c>
      <c r="AL47" s="10">
        <f t="shared" si="24"/>
        <v>-765.375</v>
      </c>
      <c r="AM47" s="10">
        <f t="shared" si="24"/>
        <v>-773.625</v>
      </c>
      <c r="AN47" s="10">
        <f t="shared" si="24"/>
        <v>-750</v>
      </c>
      <c r="AO47" s="10">
        <f>SUM(AC47:AN47)</f>
        <v>-9840.5</v>
      </c>
    </row>
    <row r="48" spans="2:41" s="23" customFormat="1" ht="15" customHeight="1" x14ac:dyDescent="0.2">
      <c r="B48" s="9" t="s">
        <v>64</v>
      </c>
      <c r="C48" s="10">
        <f>BalanceSheets!D42-BalanceSheets!C42-C39</f>
        <v>1387.5974999999996</v>
      </c>
      <c r="D48" s="10">
        <f>BalanceSheets!E42-BalanceSheets!D42-D39</f>
        <v>1966.0497749999997</v>
      </c>
      <c r="E48" s="10">
        <f>BalanceSheets!F42-BalanceSheets!E42-E39</f>
        <v>1254.7556249999998</v>
      </c>
      <c r="F48" s="10">
        <f>BalanceSheets!G42-BalanceSheets!F42-F39</f>
        <v>-4608.4028999999991</v>
      </c>
      <c r="G48" s="10">
        <f>BalanceSheets!H42-BalanceSheets!G42-G39</f>
        <v>0</v>
      </c>
      <c r="H48" s="10">
        <f>BalanceSheets!I42-BalanceSheets!H42-H39</f>
        <v>658.46</v>
      </c>
      <c r="I48" s="10">
        <f>BalanceSheets!J42-BalanceSheets!I42-I39</f>
        <v>1302.0444999999997</v>
      </c>
      <c r="J48" s="10">
        <f>BalanceSheets!K42-BalanceSheets!J42-J39</f>
        <v>0</v>
      </c>
      <c r="K48" s="10">
        <f>BalanceSheets!L42-BalanceSheets!K42-K39</f>
        <v>1119.2699999999998</v>
      </c>
      <c r="L48" s="10">
        <f>BalanceSheets!M42-BalanceSheets!L42-L39</f>
        <v>-1036.8066749999998</v>
      </c>
      <c r="M48" s="10">
        <f>BalanceSheets!N42-BalanceSheets!M42-M39</f>
        <v>2280.4231875000005</v>
      </c>
      <c r="N48" s="10">
        <f>BalanceSheets!O42-BalanceSheets!N42-N39</f>
        <v>2246.4337500000001</v>
      </c>
      <c r="O48" s="10">
        <f>SUM(C48:N48)</f>
        <v>6569.8247625000004</v>
      </c>
      <c r="P48" s="10">
        <f>BalanceSheets!P42-BalanceSheets!O42-P39</f>
        <v>-6569.8247625000004</v>
      </c>
      <c r="Q48" s="10">
        <f>BalanceSheets!Q42-BalanceSheets!P42-Q39</f>
        <v>0</v>
      </c>
      <c r="R48" s="10">
        <f>BalanceSheets!R42-BalanceSheets!Q42-R39</f>
        <v>0</v>
      </c>
      <c r="S48" s="10">
        <f>BalanceSheets!S42-BalanceSheets!R42-S39</f>
        <v>-4193.7252750000007</v>
      </c>
      <c r="T48" s="10">
        <f>BalanceSheets!T42-BalanceSheets!S42-T39</f>
        <v>0</v>
      </c>
      <c r="U48" s="10">
        <f>BalanceSheets!U42-BalanceSheets!T42-U39</f>
        <v>0</v>
      </c>
      <c r="V48" s="10">
        <f>BalanceSheets!V42-BalanceSheets!U42-V39</f>
        <v>-3810.0355499999996</v>
      </c>
      <c r="W48" s="10">
        <f>BalanceSheets!W42-BalanceSheets!V42-W39</f>
        <v>0</v>
      </c>
      <c r="X48" s="10">
        <f>BalanceSheets!X42-BalanceSheets!W42-X39</f>
        <v>0</v>
      </c>
      <c r="Y48" s="10">
        <f>BalanceSheets!Y42-BalanceSheets!X42-Y39</f>
        <v>-2315.5572749999992</v>
      </c>
      <c r="Z48" s="10">
        <f>BalanceSheets!Z42-BalanceSheets!Y42-Z39</f>
        <v>0</v>
      </c>
      <c r="AA48" s="10">
        <f>BalanceSheets!AA42-BalanceSheets!Z42-AA39</f>
        <v>0</v>
      </c>
      <c r="AB48" s="10">
        <f>SUM(P48:AA48)</f>
        <v>-16889.142862500001</v>
      </c>
      <c r="AC48" s="10">
        <f>BalanceSheets!AB42-BalanceSheets!AA42-AC39</f>
        <v>-3904.3683000000001</v>
      </c>
      <c r="AD48" s="10">
        <f>BalanceSheets!AC42-BalanceSheets!AB42-AD39</f>
        <v>0</v>
      </c>
      <c r="AE48" s="10">
        <f>BalanceSheets!AD42-BalanceSheets!AC42-AE39</f>
        <v>0</v>
      </c>
      <c r="AF48" s="10">
        <f>BalanceSheets!AE42-BalanceSheets!AD42-AF39</f>
        <v>-2176.3045000000002</v>
      </c>
      <c r="AG48" s="10">
        <f>BalanceSheets!AF42-BalanceSheets!AE42-AG39</f>
        <v>0</v>
      </c>
      <c r="AH48" s="10">
        <f>BalanceSheets!AG42-BalanceSheets!AF42-AH39</f>
        <v>0</v>
      </c>
      <c r="AI48" s="10">
        <f>BalanceSheets!AH42-BalanceSheets!AG42-AI39</f>
        <v>-1160.7044499999997</v>
      </c>
      <c r="AJ48" s="10">
        <f>BalanceSheets!AI42-BalanceSheets!AH42-AJ39</f>
        <v>0</v>
      </c>
      <c r="AK48" s="10">
        <f>BalanceSheets!AJ42-BalanceSheets!AI42-AK39</f>
        <v>0</v>
      </c>
      <c r="AL48" s="10">
        <f>BalanceSheets!AK42-BalanceSheets!AJ42-AL39</f>
        <v>-3909.0923625000009</v>
      </c>
      <c r="AM48" s="10">
        <f>BalanceSheets!AL42-BalanceSheets!AK42-AM39</f>
        <v>0</v>
      </c>
      <c r="AN48" s="10">
        <f>BalanceSheets!AM42-BalanceSheets!AL42-AN39</f>
        <v>0</v>
      </c>
      <c r="AO48" s="10">
        <f>SUM(AC48:AN48)</f>
        <v>-11150.469612500001</v>
      </c>
    </row>
    <row r="49" spans="1:41" s="14" customFormat="1" ht="15" customHeight="1" x14ac:dyDescent="0.2">
      <c r="B49" s="8" t="s">
        <v>65</v>
      </c>
      <c r="C49" s="64">
        <f ca="1">SUM(C46:C48)</f>
        <v>-41066.152500000004</v>
      </c>
      <c r="D49" s="64">
        <f t="shared" ref="D49:AO49" ca="1" si="25">SUM(D46:D48)</f>
        <v>-5335.0752250000005</v>
      </c>
      <c r="E49" s="64">
        <f t="shared" ca="1" si="25"/>
        <v>-905.99437500000022</v>
      </c>
      <c r="F49" s="64">
        <f t="shared" ca="1" si="25"/>
        <v>-9051.1528999999991</v>
      </c>
      <c r="G49" s="64">
        <f t="shared" ca="1" si="25"/>
        <v>6470.875</v>
      </c>
      <c r="H49" s="64">
        <f t="shared" ca="1" si="25"/>
        <v>-3254.79</v>
      </c>
      <c r="I49" s="64">
        <f t="shared" ca="1" si="25"/>
        <v>-7905.4555</v>
      </c>
      <c r="J49" s="64">
        <f t="shared" ca="1" si="25"/>
        <v>10151</v>
      </c>
      <c r="K49" s="64">
        <f t="shared" ca="1" si="25"/>
        <v>-11762.48</v>
      </c>
      <c r="L49" s="64">
        <f t="shared" ca="1" si="25"/>
        <v>-1741.0566749999998</v>
      </c>
      <c r="M49" s="64">
        <f t="shared" ca="1" si="25"/>
        <v>3114.7981875000005</v>
      </c>
      <c r="N49" s="64">
        <f t="shared" ca="1" si="25"/>
        <v>5403.0587500000001</v>
      </c>
      <c r="O49" s="64">
        <f t="shared" ca="1" si="25"/>
        <v>-55882.4252375</v>
      </c>
      <c r="P49" s="64">
        <f t="shared" ca="1" si="25"/>
        <v>-1539.0872625000011</v>
      </c>
      <c r="Q49" s="64">
        <f t="shared" ca="1" si="25"/>
        <v>20845.876</v>
      </c>
      <c r="R49" s="64">
        <f t="shared" ca="1" si="25"/>
        <v>5114.7207500000004</v>
      </c>
      <c r="S49" s="64">
        <f t="shared" ca="1" si="25"/>
        <v>7326.1412249999994</v>
      </c>
      <c r="T49" s="64">
        <f t="shared" ca="1" si="25"/>
        <v>19566.606</v>
      </c>
      <c r="U49" s="64">
        <f t="shared" ca="1" si="25"/>
        <v>17606.396000000001</v>
      </c>
      <c r="V49" s="64">
        <f t="shared" ca="1" si="25"/>
        <v>7159.2369499999995</v>
      </c>
      <c r="W49" s="64">
        <f t="shared" ca="1" si="25"/>
        <v>9625.9137499999997</v>
      </c>
      <c r="X49" s="64">
        <f t="shared" ca="1" si="25"/>
        <v>11851.213</v>
      </c>
      <c r="Y49" s="64">
        <f t="shared" ca="1" si="25"/>
        <v>7129.855225000003</v>
      </c>
      <c r="Z49" s="64">
        <f t="shared" ca="1" si="25"/>
        <v>13850.373250000001</v>
      </c>
      <c r="AA49" s="64">
        <f t="shared" ca="1" si="25"/>
        <v>19475.911</v>
      </c>
      <c r="AB49" s="64">
        <f t="shared" ca="1" si="25"/>
        <v>138013.1558875</v>
      </c>
      <c r="AC49" s="64">
        <f t="shared" ca="1" si="25"/>
        <v>9959.8467000000001</v>
      </c>
      <c r="AD49" s="64">
        <f t="shared" ca="1" si="25"/>
        <v>9627.1537500000013</v>
      </c>
      <c r="AE49" s="64">
        <f t="shared" ca="1" si="25"/>
        <v>15574.981250000001</v>
      </c>
      <c r="AF49" s="64">
        <f t="shared" ca="1" si="25"/>
        <v>11396.001999999999</v>
      </c>
      <c r="AG49" s="64">
        <f t="shared" ca="1" si="25"/>
        <v>11412.675999999999</v>
      </c>
      <c r="AH49" s="64">
        <f t="shared" ca="1" si="25"/>
        <v>16595.030000000002</v>
      </c>
      <c r="AI49" s="64">
        <f t="shared" ca="1" si="25"/>
        <v>10841.725550000001</v>
      </c>
      <c r="AJ49" s="64">
        <f t="shared" ca="1" si="25"/>
        <v>23803.946625</v>
      </c>
      <c r="AK49" s="64">
        <f t="shared" ca="1" si="25"/>
        <v>7099.8062500000015</v>
      </c>
      <c r="AL49" s="64">
        <f t="shared" ca="1" si="25"/>
        <v>11624.157637499999</v>
      </c>
      <c r="AM49" s="64">
        <f t="shared" ca="1" si="25"/>
        <v>17825.824999999997</v>
      </c>
      <c r="AN49" s="64">
        <f t="shared" ca="1" si="25"/>
        <v>13646.287499999999</v>
      </c>
      <c r="AO49" s="64">
        <f t="shared" ca="1" si="25"/>
        <v>159407.43826249999</v>
      </c>
    </row>
    <row r="50" spans="1:41" s="23" customFormat="1" ht="15" customHeight="1" x14ac:dyDescent="0.2">
      <c r="B50" s="22"/>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row>
    <row r="51" spans="1:41" s="18" customFormat="1" ht="15" customHeight="1" x14ac:dyDescent="0.2">
      <c r="B51" s="37" t="s">
        <v>66</v>
      </c>
      <c r="C51" s="51"/>
      <c r="D51" s="51"/>
      <c r="E51" s="51"/>
      <c r="F51" s="51"/>
      <c r="G51" s="51"/>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c r="AH51" s="51"/>
      <c r="AI51" s="51"/>
      <c r="AJ51" s="51"/>
      <c r="AK51" s="51"/>
      <c r="AL51" s="51"/>
      <c r="AM51" s="51"/>
      <c r="AN51" s="51"/>
      <c r="AO51" s="51"/>
    </row>
    <row r="52" spans="1:41" s="23" customFormat="1" ht="15" customHeight="1" x14ac:dyDescent="0.2">
      <c r="A52" s="31"/>
      <c r="B52" s="22" t="s">
        <v>67</v>
      </c>
      <c r="C52" s="10">
        <v>0</v>
      </c>
      <c r="D52" s="10">
        <v>0</v>
      </c>
      <c r="E52" s="10">
        <v>0</v>
      </c>
      <c r="F52" s="10">
        <v>0</v>
      </c>
      <c r="G52" s="10">
        <v>-10200</v>
      </c>
      <c r="H52" s="10">
        <v>0</v>
      </c>
      <c r="I52" s="10">
        <v>0</v>
      </c>
      <c r="J52" s="10">
        <v>-3200</v>
      </c>
      <c r="K52" s="10">
        <v>0</v>
      </c>
      <c r="L52" s="10">
        <v>0</v>
      </c>
      <c r="M52" s="10">
        <v>0</v>
      </c>
      <c r="N52" s="10">
        <v>0</v>
      </c>
      <c r="O52" s="10">
        <f>SUM(C52:N52)</f>
        <v>-13400</v>
      </c>
      <c r="P52" s="10">
        <v>-6300</v>
      </c>
      <c r="Q52" s="10">
        <v>0</v>
      </c>
      <c r="R52" s="10">
        <v>0</v>
      </c>
      <c r="S52" s="10">
        <v>0</v>
      </c>
      <c r="T52" s="10">
        <v>0</v>
      </c>
      <c r="U52" s="10">
        <v>0</v>
      </c>
      <c r="V52" s="10">
        <v>0</v>
      </c>
      <c r="W52" s="10">
        <v>-2398</v>
      </c>
      <c r="X52" s="10">
        <v>0</v>
      </c>
      <c r="Y52" s="10">
        <v>0</v>
      </c>
      <c r="Z52" s="10">
        <v>0</v>
      </c>
      <c r="AA52" s="10">
        <v>0</v>
      </c>
      <c r="AB52" s="10">
        <f>SUM(P52:AA52)</f>
        <v>-8698</v>
      </c>
      <c r="AC52" s="10">
        <v>0</v>
      </c>
      <c r="AD52" s="10">
        <v>-8120</v>
      </c>
      <c r="AE52" s="10">
        <v>0</v>
      </c>
      <c r="AF52" s="10">
        <v>0</v>
      </c>
      <c r="AG52" s="10">
        <v>0</v>
      </c>
      <c r="AH52" s="10">
        <v>0</v>
      </c>
      <c r="AI52" s="10">
        <v>0</v>
      </c>
      <c r="AJ52" s="10">
        <v>0</v>
      </c>
      <c r="AK52" s="10">
        <v>0</v>
      </c>
      <c r="AL52" s="10">
        <v>-9430</v>
      </c>
      <c r="AM52" s="10">
        <v>0</v>
      </c>
      <c r="AN52" s="10">
        <v>0</v>
      </c>
      <c r="AO52" s="10">
        <f>SUM(AC52:AN52)</f>
        <v>-17550</v>
      </c>
    </row>
    <row r="53" spans="1:41" s="8" customFormat="1" ht="15" customHeight="1" x14ac:dyDescent="0.2">
      <c r="B53" s="8" t="s">
        <v>68</v>
      </c>
      <c r="C53" s="64">
        <f>SUM(C52)</f>
        <v>0</v>
      </c>
      <c r="D53" s="64">
        <f t="shared" ref="D53:AO53" si="26">SUM(D52)</f>
        <v>0</v>
      </c>
      <c r="E53" s="64">
        <f t="shared" si="26"/>
        <v>0</v>
      </c>
      <c r="F53" s="64">
        <f t="shared" si="26"/>
        <v>0</v>
      </c>
      <c r="G53" s="64">
        <f t="shared" si="26"/>
        <v>-10200</v>
      </c>
      <c r="H53" s="64">
        <f t="shared" si="26"/>
        <v>0</v>
      </c>
      <c r="I53" s="64">
        <f t="shared" si="26"/>
        <v>0</v>
      </c>
      <c r="J53" s="64">
        <f t="shared" si="26"/>
        <v>-3200</v>
      </c>
      <c r="K53" s="64">
        <f t="shared" si="26"/>
        <v>0</v>
      </c>
      <c r="L53" s="64">
        <f t="shared" si="26"/>
        <v>0</v>
      </c>
      <c r="M53" s="64">
        <f t="shared" si="26"/>
        <v>0</v>
      </c>
      <c r="N53" s="64">
        <f t="shared" si="26"/>
        <v>0</v>
      </c>
      <c r="O53" s="64">
        <f t="shared" si="26"/>
        <v>-13400</v>
      </c>
      <c r="P53" s="64">
        <f t="shared" si="26"/>
        <v>-6300</v>
      </c>
      <c r="Q53" s="64">
        <f t="shared" si="26"/>
        <v>0</v>
      </c>
      <c r="R53" s="64">
        <f t="shared" si="26"/>
        <v>0</v>
      </c>
      <c r="S53" s="64">
        <f t="shared" si="26"/>
        <v>0</v>
      </c>
      <c r="T53" s="64">
        <f t="shared" si="26"/>
        <v>0</v>
      </c>
      <c r="U53" s="64">
        <f t="shared" si="26"/>
        <v>0</v>
      </c>
      <c r="V53" s="64">
        <f t="shared" si="26"/>
        <v>0</v>
      </c>
      <c r="W53" s="64">
        <f t="shared" si="26"/>
        <v>-2398</v>
      </c>
      <c r="X53" s="64">
        <f t="shared" si="26"/>
        <v>0</v>
      </c>
      <c r="Y53" s="64">
        <f t="shared" si="26"/>
        <v>0</v>
      </c>
      <c r="Z53" s="64">
        <f t="shared" si="26"/>
        <v>0</v>
      </c>
      <c r="AA53" s="64">
        <f t="shared" si="26"/>
        <v>0</v>
      </c>
      <c r="AB53" s="64">
        <f t="shared" si="26"/>
        <v>-8698</v>
      </c>
      <c r="AC53" s="64">
        <f t="shared" si="26"/>
        <v>0</v>
      </c>
      <c r="AD53" s="64">
        <f t="shared" si="26"/>
        <v>-8120</v>
      </c>
      <c r="AE53" s="64">
        <f t="shared" si="26"/>
        <v>0</v>
      </c>
      <c r="AF53" s="64">
        <f t="shared" si="26"/>
        <v>0</v>
      </c>
      <c r="AG53" s="64">
        <f t="shared" si="26"/>
        <v>0</v>
      </c>
      <c r="AH53" s="64">
        <f t="shared" si="26"/>
        <v>0</v>
      </c>
      <c r="AI53" s="64">
        <f t="shared" si="26"/>
        <v>0</v>
      </c>
      <c r="AJ53" s="64">
        <f t="shared" si="26"/>
        <v>0</v>
      </c>
      <c r="AK53" s="64">
        <f t="shared" si="26"/>
        <v>0</v>
      </c>
      <c r="AL53" s="64">
        <f t="shared" si="26"/>
        <v>-9430</v>
      </c>
      <c r="AM53" s="64">
        <f t="shared" si="26"/>
        <v>0</v>
      </c>
      <c r="AN53" s="64">
        <f t="shared" si="26"/>
        <v>0</v>
      </c>
      <c r="AO53" s="64">
        <f t="shared" si="26"/>
        <v>-17550</v>
      </c>
    </row>
    <row r="54" spans="1:41" ht="15" customHeight="1" x14ac:dyDescent="0.2">
      <c r="C54" s="10"/>
      <c r="D54" s="10"/>
      <c r="E54" s="10"/>
      <c r="F54" s="10"/>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row>
    <row r="55" spans="1:41" s="37" customFormat="1" ht="15" customHeight="1" x14ac:dyDescent="0.2">
      <c r="B55" s="37" t="s">
        <v>69</v>
      </c>
      <c r="C55" s="51"/>
      <c r="D55" s="51"/>
      <c r="E55" s="51"/>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51"/>
      <c r="AI55" s="51"/>
      <c r="AJ55" s="51"/>
      <c r="AK55" s="51"/>
      <c r="AL55" s="51"/>
      <c r="AM55" s="51"/>
      <c r="AN55" s="51"/>
      <c r="AO55" s="51"/>
    </row>
    <row r="56" spans="1:41" s="23" customFormat="1" ht="15" customHeight="1" x14ac:dyDescent="0.2">
      <c r="A56" s="74"/>
      <c r="B56" s="22" t="s">
        <v>70</v>
      </c>
      <c r="C56" s="10">
        <f>BalanceSheets!D36-BalanceSheets!C36</f>
        <v>125</v>
      </c>
      <c r="D56" s="10">
        <f>BalanceSheets!E36-BalanceSheets!D36</f>
        <v>0</v>
      </c>
      <c r="E56" s="10">
        <f>BalanceSheets!F36-BalanceSheets!E36</f>
        <v>62.5</v>
      </c>
      <c r="F56" s="10">
        <f>BalanceSheets!G36-BalanceSheets!F36</f>
        <v>0</v>
      </c>
      <c r="G56" s="10">
        <f>BalanceSheets!H36-BalanceSheets!G36</f>
        <v>0</v>
      </c>
      <c r="H56" s="10">
        <f>BalanceSheets!I36-BalanceSheets!H36</f>
        <v>0</v>
      </c>
      <c r="I56" s="10">
        <f>BalanceSheets!J36-BalanceSheets!I36</f>
        <v>0</v>
      </c>
      <c r="J56" s="10">
        <f>BalanceSheets!K36-BalanceSheets!J36</f>
        <v>0</v>
      </c>
      <c r="K56" s="10">
        <f>BalanceSheets!L36-BalanceSheets!K36</f>
        <v>0</v>
      </c>
      <c r="L56" s="10">
        <f>BalanceSheets!M36-BalanceSheets!L36</f>
        <v>0</v>
      </c>
      <c r="M56" s="10">
        <f>BalanceSheets!N36-BalanceSheets!M36</f>
        <v>0</v>
      </c>
      <c r="N56" s="10">
        <f>BalanceSheets!O36-BalanceSheets!N36</f>
        <v>0</v>
      </c>
      <c r="O56" s="10">
        <f>SUM(C56:N56)</f>
        <v>187.5</v>
      </c>
      <c r="P56" s="10">
        <f>BalanceSheets!P36-BalanceSheets!O36</f>
        <v>0</v>
      </c>
      <c r="Q56" s="10">
        <f>BalanceSheets!Q36-BalanceSheets!P36</f>
        <v>0</v>
      </c>
      <c r="R56" s="10">
        <f>BalanceSheets!R36-BalanceSheets!Q36</f>
        <v>0</v>
      </c>
      <c r="S56" s="10">
        <f>BalanceSheets!S36-BalanceSheets!R36</f>
        <v>0</v>
      </c>
      <c r="T56" s="10">
        <f>BalanceSheets!T36-BalanceSheets!S36</f>
        <v>0</v>
      </c>
      <c r="U56" s="10">
        <f>BalanceSheets!U36-BalanceSheets!T36</f>
        <v>0</v>
      </c>
      <c r="V56" s="10">
        <f>BalanceSheets!V36-BalanceSheets!U36</f>
        <v>0</v>
      </c>
      <c r="W56" s="10">
        <f>BalanceSheets!W36-BalanceSheets!V36</f>
        <v>0</v>
      </c>
      <c r="X56" s="10">
        <f>BalanceSheets!X36-BalanceSheets!W36</f>
        <v>0</v>
      </c>
      <c r="Y56" s="10">
        <f>BalanceSheets!Y36-BalanceSheets!X36</f>
        <v>0</v>
      </c>
      <c r="Z56" s="10">
        <f>BalanceSheets!Z36-BalanceSheets!Y36</f>
        <v>0</v>
      </c>
      <c r="AA56" s="10">
        <f>BalanceSheets!AA36-BalanceSheets!Z36</f>
        <v>0</v>
      </c>
      <c r="AB56" s="10">
        <f>SUM(P56:AA56)</f>
        <v>0</v>
      </c>
      <c r="AC56" s="10">
        <f>BalanceSheets!AB36-BalanceSheets!AA36</f>
        <v>0</v>
      </c>
      <c r="AD56" s="10">
        <f>BalanceSheets!AC36-BalanceSheets!AB36</f>
        <v>0</v>
      </c>
      <c r="AE56" s="10">
        <f>BalanceSheets!AD36-BalanceSheets!AC36</f>
        <v>0</v>
      </c>
      <c r="AF56" s="10">
        <f>BalanceSheets!AE36-BalanceSheets!AD36</f>
        <v>0</v>
      </c>
      <c r="AG56" s="10">
        <f>BalanceSheets!AF36-BalanceSheets!AE36</f>
        <v>0</v>
      </c>
      <c r="AH56" s="10">
        <f>BalanceSheets!AG36-BalanceSheets!AF36</f>
        <v>0</v>
      </c>
      <c r="AI56" s="10">
        <f>BalanceSheets!AH36-BalanceSheets!AG36</f>
        <v>0</v>
      </c>
      <c r="AJ56" s="10">
        <f>BalanceSheets!AI36-BalanceSheets!AH36</f>
        <v>0</v>
      </c>
      <c r="AK56" s="10">
        <f>BalanceSheets!AJ36-BalanceSheets!AI36</f>
        <v>0</v>
      </c>
      <c r="AL56" s="10">
        <f>BalanceSheets!AK36-BalanceSheets!AJ36</f>
        <v>0</v>
      </c>
      <c r="AM56" s="10">
        <f>BalanceSheets!AL36-BalanceSheets!AK36</f>
        <v>0</v>
      </c>
      <c r="AN56" s="10">
        <f>BalanceSheets!AM36-BalanceSheets!AL36</f>
        <v>0</v>
      </c>
      <c r="AO56" s="10">
        <f>SUM(AC56:AN56)</f>
        <v>0</v>
      </c>
    </row>
    <row r="57" spans="1:41" s="23" customFormat="1" ht="15" customHeight="1" x14ac:dyDescent="0.2">
      <c r="A57" s="31"/>
      <c r="B57" s="22" t="s">
        <v>71</v>
      </c>
      <c r="C57" s="10">
        <v>0</v>
      </c>
      <c r="D57" s="10">
        <v>0</v>
      </c>
      <c r="E57" s="10">
        <v>0</v>
      </c>
      <c r="F57" s="10">
        <v>0</v>
      </c>
      <c r="G57" s="10">
        <v>9000</v>
      </c>
      <c r="H57" s="10">
        <v>0</v>
      </c>
      <c r="I57" s="10">
        <v>0</v>
      </c>
      <c r="J57" s="10">
        <v>0</v>
      </c>
      <c r="K57" s="10">
        <v>0</v>
      </c>
      <c r="L57" s="10">
        <v>0</v>
      </c>
      <c r="M57" s="10">
        <v>0</v>
      </c>
      <c r="N57" s="10">
        <v>0</v>
      </c>
      <c r="O57" s="10">
        <f>SUM(C57:N57)</f>
        <v>9000</v>
      </c>
      <c r="P57" s="10">
        <v>0</v>
      </c>
      <c r="Q57" s="10">
        <v>0</v>
      </c>
      <c r="R57" s="10">
        <v>0</v>
      </c>
      <c r="S57" s="10">
        <v>0</v>
      </c>
      <c r="T57" s="10">
        <v>0</v>
      </c>
      <c r="U57" s="10">
        <v>0</v>
      </c>
      <c r="V57" s="10">
        <v>0</v>
      </c>
      <c r="W57" s="10">
        <v>0</v>
      </c>
      <c r="X57" s="10">
        <v>0</v>
      </c>
      <c r="Y57" s="10">
        <v>0</v>
      </c>
      <c r="Z57" s="10">
        <v>0</v>
      </c>
      <c r="AA57" s="10">
        <v>0</v>
      </c>
      <c r="AB57" s="10">
        <f>SUM(P57:AA57)</f>
        <v>0</v>
      </c>
      <c r="AC57" s="10">
        <v>0</v>
      </c>
      <c r="AD57" s="10">
        <v>0</v>
      </c>
      <c r="AE57" s="10">
        <v>0</v>
      </c>
      <c r="AF57" s="10">
        <v>0</v>
      </c>
      <c r="AG57" s="10">
        <v>0</v>
      </c>
      <c r="AH57" s="10">
        <v>0</v>
      </c>
      <c r="AI57" s="10">
        <v>0</v>
      </c>
      <c r="AJ57" s="10">
        <v>0</v>
      </c>
      <c r="AK57" s="10">
        <v>0</v>
      </c>
      <c r="AL57" s="10">
        <v>0</v>
      </c>
      <c r="AM57" s="10">
        <v>0</v>
      </c>
      <c r="AN57" s="10">
        <v>0</v>
      </c>
      <c r="AO57" s="10">
        <f>SUM(AC57:AN57)</f>
        <v>0</v>
      </c>
    </row>
    <row r="58" spans="1:41" s="23" customFormat="1" ht="15" customHeight="1" x14ac:dyDescent="0.2">
      <c r="A58" s="74"/>
      <c r="B58" s="22" t="s">
        <v>72</v>
      </c>
      <c r="C58" s="10">
        <f>BalanceSheets!D38-C57-BalanceSheets!C38</f>
        <v>135724.375</v>
      </c>
      <c r="D58" s="21">
        <f>BalanceSheets!E38-D57-BalanceSheets!D38</f>
        <v>-1790.5</v>
      </c>
      <c r="E58" s="21">
        <f>BalanceSheets!F38-E57-BalanceSheets!E38</f>
        <v>-1805.25</v>
      </c>
      <c r="F58" s="21">
        <f>BalanceSheets!G38-F57-BalanceSheets!F38</f>
        <v>-1820.25</v>
      </c>
      <c r="G58" s="21">
        <f>BalanceSheets!H38-G57-BalanceSheets!G38</f>
        <v>269</v>
      </c>
      <c r="H58" s="21">
        <f>BalanceSheets!I38-H57-BalanceSheets!H38</f>
        <v>-1997.375</v>
      </c>
      <c r="I58" s="21">
        <f>BalanceSheets!J38-I57-BalanceSheets!I38</f>
        <v>-2014</v>
      </c>
      <c r="J58" s="21">
        <f>BalanceSheets!K38-J57-BalanceSheets!J38</f>
        <v>-2030.75</v>
      </c>
      <c r="K58" s="21">
        <f>BalanceSheets!L38-K57-BalanceSheets!K38</f>
        <v>-2047.75</v>
      </c>
      <c r="L58" s="21">
        <f>BalanceSheets!M38-L57-BalanceSheets!L38</f>
        <v>-2064.75</v>
      </c>
      <c r="M58" s="21">
        <f>BalanceSheets!N38-M57-BalanceSheets!M38</f>
        <v>-2082</v>
      </c>
      <c r="N58" s="21">
        <f>BalanceSheets!O38-N57-BalanceSheets!N38</f>
        <v>-2099.375</v>
      </c>
      <c r="O58" s="21">
        <f>SUM(C58:N58)</f>
        <v>116241.375</v>
      </c>
      <c r="P58" s="21">
        <f>BalanceSheets!P38-P57-BalanceSheets!O38</f>
        <v>-2116.75</v>
      </c>
      <c r="Q58" s="21">
        <f>BalanceSheets!Q38-Q57-BalanceSheets!P38</f>
        <v>-2134.5</v>
      </c>
      <c r="R58" s="21">
        <f>BalanceSheets!R38-R57-BalanceSheets!Q38</f>
        <v>-2152.25</v>
      </c>
      <c r="S58" s="21">
        <f>BalanceSheets!S38-S57-BalanceSheets!R38</f>
        <v>5233</v>
      </c>
      <c r="T58" s="21">
        <f>BalanceSheets!T38-T57-BalanceSheets!S38</f>
        <v>-2285.875</v>
      </c>
      <c r="U58" s="21">
        <f>BalanceSheets!U38-U57-BalanceSheets!T38</f>
        <v>-2305</v>
      </c>
      <c r="V58" s="21">
        <f>BalanceSheets!V38-V57-BalanceSheets!U38</f>
        <v>-2324.25</v>
      </c>
      <c r="W58" s="21">
        <f>BalanceSheets!W38-W57-BalanceSheets!V38</f>
        <v>-2343.5</v>
      </c>
      <c r="X58" s="21">
        <f>BalanceSheets!X38-X57-BalanceSheets!W38</f>
        <v>-2363.125</v>
      </c>
      <c r="Y58" s="21">
        <f>BalanceSheets!Y38-Y57-BalanceSheets!X38</f>
        <v>-2382.75</v>
      </c>
      <c r="Z58" s="21">
        <f>BalanceSheets!Z38-Z57-BalanceSheets!Y38</f>
        <v>-2402.625</v>
      </c>
      <c r="AA58" s="21">
        <f>BalanceSheets!AA38-AA57-BalanceSheets!Z38</f>
        <v>-2422.625</v>
      </c>
      <c r="AB58" s="21">
        <f>SUM(P58:AA58)</f>
        <v>-20000.25</v>
      </c>
      <c r="AC58" s="21">
        <f>BalanceSheets!AB38-AC57-BalanceSheets!AA38</f>
        <v>-2442.875</v>
      </c>
      <c r="AD58" s="21">
        <f>BalanceSheets!AC38-AD57-BalanceSheets!AB38</f>
        <v>-2463.25</v>
      </c>
      <c r="AE58" s="21">
        <f>BalanceSheets!AD38-AE57-BalanceSheets!AC38</f>
        <v>-2483.625</v>
      </c>
      <c r="AF58" s="21">
        <f>BalanceSheets!AE38-AF57-BalanceSheets!AD38</f>
        <v>-2504.5</v>
      </c>
      <c r="AG58" s="21">
        <f>BalanceSheets!AF38-AG57-BalanceSheets!AE38</f>
        <v>7345.625</v>
      </c>
      <c r="AH58" s="21">
        <f>BalanceSheets!AG38-AH57-BalanceSheets!AF38</f>
        <v>-2676.625</v>
      </c>
      <c r="AI58" s="21">
        <f>BalanceSheets!AH38-AI57-BalanceSheets!AG38</f>
        <v>-2698.75</v>
      </c>
      <c r="AJ58" s="21">
        <f>BalanceSheets!AI38-AJ57-BalanceSheets!AH38</f>
        <v>-2721.375</v>
      </c>
      <c r="AK58" s="21">
        <f>BalanceSheets!AJ38-AK57-BalanceSheets!AI38</f>
        <v>-2744</v>
      </c>
      <c r="AL58" s="21">
        <f>BalanceSheets!AK38-AL57-BalanceSheets!AJ38</f>
        <v>-2767</v>
      </c>
      <c r="AM58" s="21">
        <f>BalanceSheets!AL38-AM57-BalanceSheets!AK38</f>
        <v>911.625</v>
      </c>
      <c r="AN58" s="21">
        <f>BalanceSheets!AM38-AN57-BalanceSheets!AL38</f>
        <v>-2862</v>
      </c>
      <c r="AO58" s="21">
        <f>SUM(AC58:AN58)</f>
        <v>-18106.75</v>
      </c>
    </row>
    <row r="59" spans="1:41" s="14" customFormat="1" ht="15" customHeight="1" x14ac:dyDescent="0.2">
      <c r="A59" s="76"/>
      <c r="B59" s="56" t="s">
        <v>73</v>
      </c>
      <c r="C59" s="64">
        <f>SUM(C56:C58)</f>
        <v>135849.375</v>
      </c>
      <c r="D59" s="64">
        <f t="shared" ref="D59:AO59" si="27">SUM(D56:D58)</f>
        <v>-1790.5</v>
      </c>
      <c r="E59" s="64">
        <f t="shared" si="27"/>
        <v>-1742.75</v>
      </c>
      <c r="F59" s="64">
        <f t="shared" si="27"/>
        <v>-1820.25</v>
      </c>
      <c r="G59" s="64">
        <f t="shared" si="27"/>
        <v>9269</v>
      </c>
      <c r="H59" s="64">
        <f t="shared" si="27"/>
        <v>-1997.375</v>
      </c>
      <c r="I59" s="64">
        <f t="shared" si="27"/>
        <v>-2014</v>
      </c>
      <c r="J59" s="64">
        <f t="shared" si="27"/>
        <v>-2030.75</v>
      </c>
      <c r="K59" s="64">
        <f t="shared" si="27"/>
        <v>-2047.75</v>
      </c>
      <c r="L59" s="64">
        <f t="shared" si="27"/>
        <v>-2064.75</v>
      </c>
      <c r="M59" s="64">
        <f t="shared" si="27"/>
        <v>-2082</v>
      </c>
      <c r="N59" s="64">
        <f t="shared" si="27"/>
        <v>-2099.375</v>
      </c>
      <c r="O59" s="64">
        <f t="shared" si="27"/>
        <v>125428.875</v>
      </c>
      <c r="P59" s="64">
        <f t="shared" si="27"/>
        <v>-2116.75</v>
      </c>
      <c r="Q59" s="64">
        <f t="shared" si="27"/>
        <v>-2134.5</v>
      </c>
      <c r="R59" s="64">
        <f t="shared" si="27"/>
        <v>-2152.25</v>
      </c>
      <c r="S59" s="64">
        <f t="shared" si="27"/>
        <v>5233</v>
      </c>
      <c r="T59" s="64">
        <f t="shared" si="27"/>
        <v>-2285.875</v>
      </c>
      <c r="U59" s="64">
        <f t="shared" si="27"/>
        <v>-2305</v>
      </c>
      <c r="V59" s="64">
        <f t="shared" si="27"/>
        <v>-2324.25</v>
      </c>
      <c r="W59" s="64">
        <f t="shared" si="27"/>
        <v>-2343.5</v>
      </c>
      <c r="X59" s="64">
        <f t="shared" si="27"/>
        <v>-2363.125</v>
      </c>
      <c r="Y59" s="64">
        <f t="shared" si="27"/>
        <v>-2382.75</v>
      </c>
      <c r="Z59" s="64">
        <f t="shared" si="27"/>
        <v>-2402.625</v>
      </c>
      <c r="AA59" s="64">
        <f t="shared" si="27"/>
        <v>-2422.625</v>
      </c>
      <c r="AB59" s="64">
        <f t="shared" si="27"/>
        <v>-20000.25</v>
      </c>
      <c r="AC59" s="64">
        <f t="shared" si="27"/>
        <v>-2442.875</v>
      </c>
      <c r="AD59" s="64">
        <f t="shared" si="27"/>
        <v>-2463.25</v>
      </c>
      <c r="AE59" s="64">
        <f t="shared" si="27"/>
        <v>-2483.625</v>
      </c>
      <c r="AF59" s="64">
        <f t="shared" si="27"/>
        <v>-2504.5</v>
      </c>
      <c r="AG59" s="64">
        <f t="shared" si="27"/>
        <v>7345.625</v>
      </c>
      <c r="AH59" s="64">
        <f t="shared" si="27"/>
        <v>-2676.625</v>
      </c>
      <c r="AI59" s="64">
        <f t="shared" si="27"/>
        <v>-2698.75</v>
      </c>
      <c r="AJ59" s="64">
        <f t="shared" si="27"/>
        <v>-2721.375</v>
      </c>
      <c r="AK59" s="64">
        <f t="shared" si="27"/>
        <v>-2744</v>
      </c>
      <c r="AL59" s="64">
        <f t="shared" si="27"/>
        <v>-2767</v>
      </c>
      <c r="AM59" s="64">
        <f t="shared" si="27"/>
        <v>911.625</v>
      </c>
      <c r="AN59" s="64">
        <f t="shared" si="27"/>
        <v>-2862</v>
      </c>
      <c r="AO59" s="64">
        <f t="shared" si="27"/>
        <v>-18106.75</v>
      </c>
    </row>
    <row r="60" spans="1:41" ht="15" customHeight="1" x14ac:dyDescent="0.2">
      <c r="C60" s="10"/>
      <c r="D60" s="10"/>
      <c r="E60" s="10"/>
      <c r="F60" s="10"/>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row>
    <row r="61" spans="1:41" ht="15" customHeight="1" x14ac:dyDescent="0.2">
      <c r="B61" s="9" t="s">
        <v>74</v>
      </c>
      <c r="C61" s="10">
        <f ca="1">SUM(C49,C53,C59)</f>
        <v>94783.222500000003</v>
      </c>
      <c r="D61" s="10">
        <f t="shared" ref="D61:AO61" ca="1" si="28">SUM(D49,D53,D59)</f>
        <v>-7125.5752250000005</v>
      </c>
      <c r="E61" s="10">
        <f t="shared" ca="1" si="28"/>
        <v>-2648.7443750000002</v>
      </c>
      <c r="F61" s="10">
        <f t="shared" ca="1" si="28"/>
        <v>-10871.402899999999</v>
      </c>
      <c r="G61" s="10">
        <f t="shared" ca="1" si="28"/>
        <v>5539.875</v>
      </c>
      <c r="H61" s="10">
        <f t="shared" ca="1" si="28"/>
        <v>-5252.165</v>
      </c>
      <c r="I61" s="10">
        <f t="shared" ca="1" si="28"/>
        <v>-9919.4555</v>
      </c>
      <c r="J61" s="10">
        <f t="shared" ca="1" si="28"/>
        <v>4920.25</v>
      </c>
      <c r="K61" s="10">
        <f t="shared" ca="1" si="28"/>
        <v>-13810.23</v>
      </c>
      <c r="L61" s="10">
        <f t="shared" ca="1" si="28"/>
        <v>-3805.8066749999998</v>
      </c>
      <c r="M61" s="10">
        <f t="shared" ca="1" si="28"/>
        <v>1032.7981875000005</v>
      </c>
      <c r="N61" s="10">
        <f t="shared" ca="1" si="28"/>
        <v>3303.6837500000001</v>
      </c>
      <c r="O61" s="10">
        <f t="shared" ca="1" si="28"/>
        <v>56146.449762500008</v>
      </c>
      <c r="P61" s="10">
        <f t="shared" ca="1" si="28"/>
        <v>-9955.8372625000011</v>
      </c>
      <c r="Q61" s="10">
        <f t="shared" ca="1" si="28"/>
        <v>18711.376</v>
      </c>
      <c r="R61" s="10">
        <f t="shared" ca="1" si="28"/>
        <v>2962.4707500000004</v>
      </c>
      <c r="S61" s="10">
        <f t="shared" ca="1" si="28"/>
        <v>12559.141224999999</v>
      </c>
      <c r="T61" s="10">
        <f t="shared" ca="1" si="28"/>
        <v>17280.731</v>
      </c>
      <c r="U61" s="10">
        <f t="shared" ca="1" si="28"/>
        <v>15301.396000000001</v>
      </c>
      <c r="V61" s="10">
        <f t="shared" ca="1" si="28"/>
        <v>4834.9869499999995</v>
      </c>
      <c r="W61" s="10">
        <f t="shared" ca="1" si="28"/>
        <v>4884.4137499999997</v>
      </c>
      <c r="X61" s="10">
        <f t="shared" ca="1" si="28"/>
        <v>9488.0879999999997</v>
      </c>
      <c r="Y61" s="10">
        <f t="shared" ca="1" si="28"/>
        <v>4747.105225000003</v>
      </c>
      <c r="Z61" s="10">
        <f t="shared" ca="1" si="28"/>
        <v>11447.748250000001</v>
      </c>
      <c r="AA61" s="10">
        <f t="shared" ca="1" si="28"/>
        <v>17053.286</v>
      </c>
      <c r="AB61" s="10">
        <f t="shared" ca="1" si="28"/>
        <v>109314.9058875</v>
      </c>
      <c r="AC61" s="10">
        <f t="shared" ca="1" si="28"/>
        <v>7516.9717000000001</v>
      </c>
      <c r="AD61" s="10">
        <f t="shared" ca="1" si="28"/>
        <v>-956.09624999999869</v>
      </c>
      <c r="AE61" s="10">
        <f t="shared" ca="1" si="28"/>
        <v>13091.356250000001</v>
      </c>
      <c r="AF61" s="10">
        <f t="shared" ca="1" si="28"/>
        <v>8891.5019999999986</v>
      </c>
      <c r="AG61" s="10">
        <f t="shared" ca="1" si="28"/>
        <v>18758.300999999999</v>
      </c>
      <c r="AH61" s="10">
        <f t="shared" ca="1" si="28"/>
        <v>13918.405000000002</v>
      </c>
      <c r="AI61" s="10">
        <f t="shared" ca="1" si="28"/>
        <v>8142.975550000001</v>
      </c>
      <c r="AJ61" s="10">
        <f t="shared" ca="1" si="28"/>
        <v>21082.571625</v>
      </c>
      <c r="AK61" s="10">
        <f t="shared" ca="1" si="28"/>
        <v>4355.8062500000015</v>
      </c>
      <c r="AL61" s="10">
        <f t="shared" ca="1" si="28"/>
        <v>-572.8423625000014</v>
      </c>
      <c r="AM61" s="10">
        <f t="shared" ca="1" si="28"/>
        <v>18737.449999999997</v>
      </c>
      <c r="AN61" s="10">
        <f t="shared" ca="1" si="28"/>
        <v>10784.287499999999</v>
      </c>
      <c r="AO61" s="10">
        <f t="shared" ca="1" si="28"/>
        <v>123750.68826249999</v>
      </c>
    </row>
    <row r="62" spans="1:41" ht="15" customHeight="1" x14ac:dyDescent="0.2">
      <c r="C62" s="10"/>
      <c r="D62" s="10"/>
      <c r="E62" s="10"/>
      <c r="F62" s="10"/>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row>
    <row r="63" spans="1:41" ht="15" customHeight="1" x14ac:dyDescent="0.2">
      <c r="B63" s="9" t="s">
        <v>75</v>
      </c>
      <c r="C63" s="10">
        <f>BalanceSheets!C10</f>
        <v>0</v>
      </c>
      <c r="D63" s="10">
        <f t="shared" ref="D63:N63" ca="1" si="29">C65</f>
        <v>94783.222500000003</v>
      </c>
      <c r="E63" s="10">
        <f t="shared" ca="1" si="29"/>
        <v>87657.647274999996</v>
      </c>
      <c r="F63" s="10">
        <f t="shared" ca="1" si="29"/>
        <v>85008.902900000001</v>
      </c>
      <c r="G63" s="10">
        <f t="shared" ca="1" si="29"/>
        <v>74137.5</v>
      </c>
      <c r="H63" s="10">
        <f t="shared" ca="1" si="29"/>
        <v>79677.375</v>
      </c>
      <c r="I63" s="10">
        <f t="shared" ca="1" si="29"/>
        <v>74425.210000000006</v>
      </c>
      <c r="J63" s="10">
        <f t="shared" ca="1" si="29"/>
        <v>64505.75450000001</v>
      </c>
      <c r="K63" s="10">
        <f t="shared" ca="1" si="29"/>
        <v>69426.00450000001</v>
      </c>
      <c r="L63" s="10">
        <f t="shared" ca="1" si="29"/>
        <v>55615.774500000014</v>
      </c>
      <c r="M63" s="10">
        <f t="shared" ca="1" si="29"/>
        <v>51809.967825000014</v>
      </c>
      <c r="N63" s="10">
        <f t="shared" ca="1" si="29"/>
        <v>52842.766012500011</v>
      </c>
      <c r="O63" s="10">
        <f>C63</f>
        <v>0</v>
      </c>
      <c r="P63" s="10">
        <f t="shared" ref="P63:AA63" ca="1" si="30">O65</f>
        <v>56146.449762500008</v>
      </c>
      <c r="Q63" s="10">
        <f t="shared" ca="1" si="30"/>
        <v>46190.612500000003</v>
      </c>
      <c r="R63" s="10">
        <f t="shared" ca="1" si="30"/>
        <v>64901.988500000007</v>
      </c>
      <c r="S63" s="10">
        <f t="shared" ca="1" si="30"/>
        <v>67864.459250000014</v>
      </c>
      <c r="T63" s="10">
        <f t="shared" ca="1" si="30"/>
        <v>80423.600475000014</v>
      </c>
      <c r="U63" s="10">
        <f t="shared" ca="1" si="30"/>
        <v>97704.331475000014</v>
      </c>
      <c r="V63" s="10">
        <f t="shared" ca="1" si="30"/>
        <v>113005.72747500002</v>
      </c>
      <c r="W63" s="10">
        <f t="shared" ca="1" si="30"/>
        <v>117840.71442500003</v>
      </c>
      <c r="X63" s="10">
        <f t="shared" ca="1" si="30"/>
        <v>122725.12817500002</v>
      </c>
      <c r="Y63" s="10">
        <f t="shared" ca="1" si="30"/>
        <v>132213.21617500001</v>
      </c>
      <c r="Z63" s="10">
        <f t="shared" ca="1" si="30"/>
        <v>136960.32140000002</v>
      </c>
      <c r="AA63" s="10">
        <f t="shared" ca="1" si="30"/>
        <v>148408.06965000002</v>
      </c>
      <c r="AB63" s="10">
        <f ca="1">P63</f>
        <v>56146.449762500008</v>
      </c>
      <c r="AC63" s="10">
        <f t="shared" ref="AC63:AN63" ca="1" si="31">AB65</f>
        <v>165461.35565000001</v>
      </c>
      <c r="AD63" s="10">
        <f t="shared" ca="1" si="31"/>
        <v>172978.32735000001</v>
      </c>
      <c r="AE63" s="10">
        <f t="shared" ca="1" si="31"/>
        <v>172022.2311</v>
      </c>
      <c r="AF63" s="10">
        <f t="shared" ca="1" si="31"/>
        <v>185113.58735000002</v>
      </c>
      <c r="AG63" s="10">
        <f t="shared" ca="1" si="31"/>
        <v>194005.08935000002</v>
      </c>
      <c r="AH63" s="10">
        <f t="shared" ca="1" si="31"/>
        <v>212763.39035000003</v>
      </c>
      <c r="AI63" s="10">
        <f t="shared" ca="1" si="31"/>
        <v>226681.79535000003</v>
      </c>
      <c r="AJ63" s="10">
        <f t="shared" ca="1" si="31"/>
        <v>234824.77090000003</v>
      </c>
      <c r="AK63" s="10">
        <f t="shared" ca="1" si="31"/>
        <v>255907.34252500004</v>
      </c>
      <c r="AL63" s="10">
        <f t="shared" ca="1" si="31"/>
        <v>260263.14877500004</v>
      </c>
      <c r="AM63" s="10">
        <f t="shared" ca="1" si="31"/>
        <v>259690.30641250004</v>
      </c>
      <c r="AN63" s="10">
        <f t="shared" ca="1" si="31"/>
        <v>278427.75641250005</v>
      </c>
      <c r="AO63" s="10">
        <f ca="1">AC63</f>
        <v>165461.35565000001</v>
      </c>
    </row>
    <row r="64" spans="1:41" ht="15" customHeight="1" x14ac:dyDescent="0.2">
      <c r="C64" s="10"/>
      <c r="D64" s="10"/>
      <c r="E64" s="10"/>
      <c r="F64" s="10"/>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row>
    <row r="65" spans="2:41" s="37" customFormat="1" ht="15" customHeight="1" thickBot="1" x14ac:dyDescent="0.25">
      <c r="B65" s="37" t="s">
        <v>76</v>
      </c>
      <c r="C65" s="53">
        <f t="shared" ref="C65:AO65" ca="1" si="32">SUM(C61,C63)</f>
        <v>94783.222500000003</v>
      </c>
      <c r="D65" s="53">
        <f t="shared" ca="1" si="32"/>
        <v>87657.647274999996</v>
      </c>
      <c r="E65" s="53">
        <f t="shared" ca="1" si="32"/>
        <v>85008.902900000001</v>
      </c>
      <c r="F65" s="53">
        <f t="shared" ca="1" si="32"/>
        <v>74137.5</v>
      </c>
      <c r="G65" s="53">
        <f t="shared" ca="1" si="32"/>
        <v>79677.375</v>
      </c>
      <c r="H65" s="53">
        <f t="shared" ca="1" si="32"/>
        <v>74425.210000000006</v>
      </c>
      <c r="I65" s="53">
        <f t="shared" ca="1" si="32"/>
        <v>64505.75450000001</v>
      </c>
      <c r="J65" s="53">
        <f t="shared" ca="1" si="32"/>
        <v>69426.00450000001</v>
      </c>
      <c r="K65" s="53">
        <f t="shared" ca="1" si="32"/>
        <v>55615.774500000014</v>
      </c>
      <c r="L65" s="53">
        <f t="shared" ca="1" si="32"/>
        <v>51809.967825000014</v>
      </c>
      <c r="M65" s="53">
        <f t="shared" ca="1" si="32"/>
        <v>52842.766012500011</v>
      </c>
      <c r="N65" s="53">
        <f t="shared" ca="1" si="32"/>
        <v>56146.449762500008</v>
      </c>
      <c r="O65" s="53">
        <f t="shared" ca="1" si="32"/>
        <v>56146.449762500008</v>
      </c>
      <c r="P65" s="53">
        <f t="shared" ca="1" si="32"/>
        <v>46190.612500000003</v>
      </c>
      <c r="Q65" s="53">
        <f t="shared" ca="1" si="32"/>
        <v>64901.988500000007</v>
      </c>
      <c r="R65" s="53">
        <f t="shared" ca="1" si="32"/>
        <v>67864.459250000014</v>
      </c>
      <c r="S65" s="53">
        <f t="shared" ca="1" si="32"/>
        <v>80423.600475000014</v>
      </c>
      <c r="T65" s="53">
        <f t="shared" ca="1" si="32"/>
        <v>97704.331475000014</v>
      </c>
      <c r="U65" s="53">
        <f t="shared" ca="1" si="32"/>
        <v>113005.72747500002</v>
      </c>
      <c r="V65" s="53">
        <f t="shared" ca="1" si="32"/>
        <v>117840.71442500003</v>
      </c>
      <c r="W65" s="53">
        <f t="shared" ca="1" si="32"/>
        <v>122725.12817500002</v>
      </c>
      <c r="X65" s="53">
        <f t="shared" ca="1" si="32"/>
        <v>132213.21617500001</v>
      </c>
      <c r="Y65" s="53">
        <f t="shared" ca="1" si="32"/>
        <v>136960.32140000002</v>
      </c>
      <c r="Z65" s="53">
        <f t="shared" ca="1" si="32"/>
        <v>148408.06965000002</v>
      </c>
      <c r="AA65" s="53">
        <f t="shared" ca="1" si="32"/>
        <v>165461.35565000001</v>
      </c>
      <c r="AB65" s="53">
        <f t="shared" ca="1" si="32"/>
        <v>165461.35565000001</v>
      </c>
      <c r="AC65" s="53">
        <f t="shared" ca="1" si="32"/>
        <v>172978.32735000001</v>
      </c>
      <c r="AD65" s="53">
        <f t="shared" ca="1" si="32"/>
        <v>172022.2311</v>
      </c>
      <c r="AE65" s="53">
        <f t="shared" ca="1" si="32"/>
        <v>185113.58735000002</v>
      </c>
      <c r="AF65" s="53">
        <f t="shared" ca="1" si="32"/>
        <v>194005.08935000002</v>
      </c>
      <c r="AG65" s="53">
        <f t="shared" ca="1" si="32"/>
        <v>212763.39035000003</v>
      </c>
      <c r="AH65" s="53">
        <f t="shared" ca="1" si="32"/>
        <v>226681.79535000003</v>
      </c>
      <c r="AI65" s="53">
        <f t="shared" ca="1" si="32"/>
        <v>234824.77090000003</v>
      </c>
      <c r="AJ65" s="53">
        <f t="shared" ca="1" si="32"/>
        <v>255907.34252500004</v>
      </c>
      <c r="AK65" s="53">
        <f t="shared" ca="1" si="32"/>
        <v>260263.14877500004</v>
      </c>
      <c r="AL65" s="53">
        <f t="shared" ca="1" si="32"/>
        <v>259690.30641250004</v>
      </c>
      <c r="AM65" s="53">
        <f t="shared" ca="1" si="32"/>
        <v>278427.75641250005</v>
      </c>
      <c r="AN65" s="53">
        <f t="shared" ca="1" si="32"/>
        <v>289212.04391250003</v>
      </c>
      <c r="AO65" s="53">
        <f t="shared" ca="1" si="32"/>
        <v>289212.04391250003</v>
      </c>
    </row>
    <row r="66" spans="2:41" ht="15" customHeight="1" thickTop="1" x14ac:dyDescent="0.2"/>
    <row r="68" spans="2:41" ht="15" customHeight="1" x14ac:dyDescent="0.2">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row>
    <row r="69" spans="2:41" ht="15" customHeight="1" x14ac:dyDescent="0.2">
      <c r="G69" s="23"/>
      <c r="H69" s="23"/>
      <c r="I69" s="23"/>
      <c r="J69" s="23"/>
      <c r="K69" s="23"/>
      <c r="L69" s="23"/>
      <c r="M69" s="23"/>
      <c r="N69" s="23"/>
      <c r="P69" s="77"/>
      <c r="Q69" s="77"/>
      <c r="R69" s="77"/>
      <c r="S69" s="77"/>
      <c r="T69" s="77"/>
      <c r="U69" s="77"/>
      <c r="V69" s="77"/>
      <c r="W69" s="77"/>
      <c r="X69" s="77"/>
      <c r="Y69" s="77"/>
      <c r="Z69" s="77"/>
      <c r="AA69" s="77"/>
      <c r="AC69" s="77"/>
      <c r="AD69" s="77"/>
      <c r="AE69" s="77"/>
      <c r="AF69" s="77"/>
      <c r="AG69" s="77"/>
      <c r="AH69" s="77"/>
      <c r="AI69" s="77"/>
      <c r="AJ69" s="77"/>
      <c r="AK69" s="77"/>
      <c r="AL69" s="77"/>
      <c r="AM69" s="77"/>
      <c r="AN69" s="77"/>
    </row>
    <row r="70" spans="2:41" ht="15" customHeight="1" x14ac:dyDescent="0.2">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row>
    <row r="71" spans="2:41" ht="15" customHeight="1" x14ac:dyDescent="0.2">
      <c r="G71" s="23"/>
      <c r="H71" s="23"/>
      <c r="I71" s="23"/>
      <c r="J71" s="23"/>
      <c r="K71" s="23"/>
      <c r="L71" s="23"/>
      <c r="M71" s="23"/>
      <c r="N71" s="23"/>
      <c r="O71" s="23"/>
      <c r="P71" s="23"/>
      <c r="Q71" s="23"/>
      <c r="R71" s="23"/>
      <c r="S71" s="23"/>
      <c r="T71" s="23"/>
      <c r="U71" s="23"/>
      <c r="V71" s="23"/>
      <c r="W71" s="23"/>
      <c r="X71" s="23"/>
      <c r="Y71" s="23"/>
      <c r="Z71" s="23"/>
      <c r="AA71" s="23"/>
      <c r="AC71" s="23"/>
      <c r="AD71" s="23"/>
      <c r="AE71" s="23"/>
      <c r="AF71" s="23"/>
      <c r="AG71" s="23"/>
      <c r="AH71" s="23"/>
      <c r="AI71" s="23"/>
      <c r="AJ71" s="23"/>
      <c r="AK71" s="23"/>
      <c r="AL71" s="23"/>
      <c r="AM71" s="23"/>
      <c r="AN71" s="23"/>
    </row>
    <row r="72" spans="2:41" s="17" customFormat="1" ht="15" customHeight="1" x14ac:dyDescent="0.2"/>
    <row r="77" spans="2:41" s="17" customFormat="1" ht="15" customHeight="1" x14ac:dyDescent="0.2"/>
    <row r="78" spans="2:41" s="17" customFormat="1" ht="15" customHeight="1" x14ac:dyDescent="0.2"/>
    <row r="93" s="17" customFormat="1" ht="15" customHeight="1" x14ac:dyDescent="0.2"/>
  </sheetData>
  <phoneticPr fontId="5" type="noConversion"/>
  <pageMargins left="0.55118110236220474" right="0.55118110236220474" top="0.59055118110236227" bottom="0.59055118110236227" header="0.39370078740157483" footer="0.39370078740157483"/>
  <pageSetup paperSize="9" scale="65" fitToWidth="3" orientation="landscape" r:id="rId1"/>
  <headerFooter alignWithMargins="0">
    <oddFooter>&amp;C&amp;9Page &amp;P of &amp;N</oddFooter>
  </headerFooter>
  <rowBreaks count="1" manualBreakCount="1">
    <brk id="31" min="1" max="40" man="1"/>
  </rowBreaks>
  <colBreaks count="2" manualBreakCount="2">
    <brk id="15" max="58" man="1"/>
    <brk id="28" max="58" man="1"/>
  </colBreaks>
  <ignoredErrors>
    <ignoredError sqref="O37:O41 AB37:AB39 AB41 O46:O48 AB46:AB48 AO46 O63 AB63 O10 AB10" 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6951A-9628-43FA-AC7A-F1749C06DAC2}">
  <dimension ref="B1:E22"/>
  <sheetViews>
    <sheetView topLeftCell="A14" workbookViewId="0">
      <selection activeCell="A22" sqref="A22:XFD22"/>
    </sheetView>
  </sheetViews>
  <sheetFormatPr defaultRowHeight="12.75" x14ac:dyDescent="0.2"/>
  <cols>
    <col min="2" max="2" width="19.28515625" customWidth="1"/>
    <col min="3" max="3" width="15.85546875" customWidth="1"/>
    <col min="4" max="4" width="35" customWidth="1"/>
    <col min="5" max="5" width="23.140625" customWidth="1"/>
  </cols>
  <sheetData>
    <row r="1" spans="2:5" ht="13.5" thickBot="1" x14ac:dyDescent="0.25"/>
    <row r="2" spans="2:5" ht="22.5" customHeight="1" thickBot="1" x14ac:dyDescent="0.25">
      <c r="B2" s="115" t="s">
        <v>313</v>
      </c>
      <c r="C2" s="116" t="s">
        <v>314</v>
      </c>
      <c r="D2" s="116" t="s">
        <v>315</v>
      </c>
      <c r="E2" s="116" t="s">
        <v>316</v>
      </c>
    </row>
    <row r="3" spans="2:5" ht="37.5" customHeight="1" thickBot="1" x14ac:dyDescent="0.25">
      <c r="B3" s="117" t="s">
        <v>317</v>
      </c>
      <c r="C3" s="118" t="s">
        <v>318</v>
      </c>
      <c r="D3" s="118" t="s">
        <v>319</v>
      </c>
      <c r="E3" s="118" t="s">
        <v>320</v>
      </c>
    </row>
    <row r="4" spans="2:5" ht="33.75" customHeight="1" thickBot="1" x14ac:dyDescent="0.25">
      <c r="B4" s="117" t="s">
        <v>321</v>
      </c>
      <c r="C4" s="118" t="s">
        <v>318</v>
      </c>
      <c r="D4" s="118" t="s">
        <v>322</v>
      </c>
      <c r="E4" s="118" t="s">
        <v>320</v>
      </c>
    </row>
    <row r="5" spans="2:5" ht="32.25" customHeight="1" thickBot="1" x14ac:dyDescent="0.25">
      <c r="B5" s="117" t="s">
        <v>323</v>
      </c>
      <c r="C5" s="118" t="s">
        <v>318</v>
      </c>
      <c r="D5" s="118" t="s">
        <v>324</v>
      </c>
      <c r="E5" s="118" t="s">
        <v>320</v>
      </c>
    </row>
    <row r="6" spans="2:5" ht="22.5" customHeight="1" thickBot="1" x14ac:dyDescent="0.25">
      <c r="B6" s="117" t="s">
        <v>325</v>
      </c>
      <c r="C6" s="118" t="s">
        <v>318</v>
      </c>
      <c r="D6" s="118" t="s">
        <v>326</v>
      </c>
      <c r="E6" s="118" t="s">
        <v>327</v>
      </c>
    </row>
    <row r="7" spans="2:5" ht="68.25" customHeight="1" thickBot="1" x14ac:dyDescent="0.25">
      <c r="B7" s="117" t="s">
        <v>328</v>
      </c>
      <c r="C7" s="118" t="s">
        <v>329</v>
      </c>
      <c r="D7" s="118" t="s">
        <v>330</v>
      </c>
      <c r="E7" s="118" t="s">
        <v>320</v>
      </c>
    </row>
    <row r="8" spans="2:5" ht="31.5" customHeight="1" thickBot="1" x14ac:dyDescent="0.25">
      <c r="B8" s="117" t="s">
        <v>331</v>
      </c>
      <c r="C8" s="118" t="s">
        <v>329</v>
      </c>
      <c r="D8" s="118" t="s">
        <v>332</v>
      </c>
      <c r="E8" s="118" t="s">
        <v>320</v>
      </c>
    </row>
    <row r="9" spans="2:5" ht="22.5" customHeight="1" x14ac:dyDescent="0.2">
      <c r="B9" s="194" t="s">
        <v>333</v>
      </c>
      <c r="C9" s="194" t="s">
        <v>318</v>
      </c>
      <c r="D9" s="119" t="s">
        <v>334</v>
      </c>
      <c r="E9" s="194" t="s">
        <v>336</v>
      </c>
    </row>
    <row r="10" spans="2:5" ht="81.75" customHeight="1" thickBot="1" x14ac:dyDescent="0.25">
      <c r="B10" s="195"/>
      <c r="C10" s="195"/>
      <c r="D10" s="118" t="s">
        <v>335</v>
      </c>
      <c r="E10" s="195"/>
    </row>
    <row r="11" spans="2:5" ht="81.75" customHeight="1" thickBot="1" x14ac:dyDescent="0.25">
      <c r="B11" s="117" t="s">
        <v>337</v>
      </c>
      <c r="C11" s="118" t="s">
        <v>318</v>
      </c>
      <c r="D11" s="118"/>
      <c r="E11" s="118" t="s">
        <v>327</v>
      </c>
    </row>
    <row r="12" spans="2:5" ht="40.5" customHeight="1" thickBot="1" x14ac:dyDescent="0.25">
      <c r="B12" s="117" t="s">
        <v>338</v>
      </c>
      <c r="C12" s="118" t="s">
        <v>318</v>
      </c>
      <c r="D12" s="118" t="s">
        <v>339</v>
      </c>
      <c r="E12" s="118" t="s">
        <v>327</v>
      </c>
    </row>
    <row r="13" spans="2:5" ht="43.5" customHeight="1" thickBot="1" x14ac:dyDescent="0.25">
      <c r="B13" s="117" t="s">
        <v>340</v>
      </c>
      <c r="C13" s="118" t="s">
        <v>318</v>
      </c>
      <c r="D13" s="118" t="s">
        <v>341</v>
      </c>
      <c r="E13" s="118" t="s">
        <v>327</v>
      </c>
    </row>
    <row r="14" spans="2:5" ht="45" customHeight="1" thickBot="1" x14ac:dyDescent="0.25">
      <c r="B14" s="117" t="s">
        <v>342</v>
      </c>
      <c r="C14" s="118" t="s">
        <v>318</v>
      </c>
      <c r="D14" s="118" t="s">
        <v>343</v>
      </c>
      <c r="E14" s="118" t="s">
        <v>327</v>
      </c>
    </row>
    <row r="15" spans="2:5" ht="22.5" customHeight="1" thickBot="1" x14ac:dyDescent="0.25">
      <c r="B15" s="117" t="s">
        <v>344</v>
      </c>
      <c r="C15" s="118" t="s">
        <v>318</v>
      </c>
      <c r="D15" s="118"/>
      <c r="E15" s="118" t="s">
        <v>327</v>
      </c>
    </row>
    <row r="16" spans="2:5" ht="22.5" customHeight="1" thickBot="1" x14ac:dyDescent="0.25">
      <c r="B16" s="117" t="s">
        <v>345</v>
      </c>
      <c r="C16" s="118" t="s">
        <v>318</v>
      </c>
      <c r="D16" s="118"/>
      <c r="E16" s="118" t="s">
        <v>327</v>
      </c>
    </row>
    <row r="17" spans="2:5" ht="22.5" customHeight="1" thickBot="1" x14ac:dyDescent="0.25">
      <c r="B17" s="117" t="s">
        <v>346</v>
      </c>
      <c r="C17" s="118" t="s">
        <v>318</v>
      </c>
      <c r="D17" s="118"/>
      <c r="E17" s="118" t="s">
        <v>327</v>
      </c>
    </row>
    <row r="18" spans="2:5" ht="22.5" customHeight="1" thickBot="1" x14ac:dyDescent="0.25">
      <c r="B18" s="117" t="s">
        <v>347</v>
      </c>
      <c r="C18" s="118" t="s">
        <v>318</v>
      </c>
      <c r="D18" s="118"/>
      <c r="E18" s="118" t="s">
        <v>327</v>
      </c>
    </row>
    <row r="19" spans="2:5" ht="22.5" customHeight="1" x14ac:dyDescent="0.2">
      <c r="B19" s="194" t="s">
        <v>348</v>
      </c>
      <c r="C19" s="194" t="s">
        <v>318</v>
      </c>
      <c r="D19" s="119" t="s">
        <v>334</v>
      </c>
      <c r="E19" s="194" t="s">
        <v>327</v>
      </c>
    </row>
    <row r="20" spans="2:5" ht="42.75" customHeight="1" thickBot="1" x14ac:dyDescent="0.25">
      <c r="B20" s="195"/>
      <c r="C20" s="195"/>
      <c r="D20" s="118" t="s">
        <v>349</v>
      </c>
      <c r="E20" s="195"/>
    </row>
    <row r="21" spans="2:5" ht="22.5" customHeight="1" thickBot="1" x14ac:dyDescent="0.25">
      <c r="B21" s="117" t="s">
        <v>350</v>
      </c>
      <c r="C21" s="118" t="s">
        <v>318</v>
      </c>
      <c r="D21" s="118" t="s">
        <v>351</v>
      </c>
      <c r="E21" s="118" t="s">
        <v>327</v>
      </c>
    </row>
    <row r="22" spans="2:5" ht="34.5" customHeight="1" thickBot="1" x14ac:dyDescent="0.25">
      <c r="B22" s="117" t="s">
        <v>352</v>
      </c>
      <c r="C22" s="118" t="s">
        <v>318</v>
      </c>
      <c r="D22" s="118" t="s">
        <v>353</v>
      </c>
      <c r="E22" s="118" t="s">
        <v>327</v>
      </c>
    </row>
  </sheetData>
  <mergeCells count="6">
    <mergeCell ref="B9:B10"/>
    <mergeCell ref="C9:C10"/>
    <mergeCell ref="E9:E10"/>
    <mergeCell ref="B19:B20"/>
    <mergeCell ref="C19:C20"/>
    <mergeCell ref="E19:E20"/>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50"/>
  <sheetViews>
    <sheetView zoomScale="95" zoomScaleNormal="95" workbookViewId="0">
      <pane xSplit="2" ySplit="4" topLeftCell="C5" activePane="bottomRight" state="frozen"/>
      <selection pane="topRight" activeCell="B1" sqref="B1"/>
      <selection pane="bottomLeft" activeCell="A7" sqref="A7"/>
      <selection pane="bottomRight" activeCell="A6" sqref="A6"/>
    </sheetView>
  </sheetViews>
  <sheetFormatPr defaultRowHeight="15" customHeight="1" x14ac:dyDescent="0.2"/>
  <cols>
    <col min="1" max="1" width="3.7109375" style="9" customWidth="1"/>
    <col min="2" max="2" width="33.7109375" style="9" customWidth="1"/>
    <col min="3" max="7" width="13.7109375" style="23" customWidth="1"/>
    <col min="8" max="39" width="13.7109375" style="9" customWidth="1"/>
    <col min="40" max="74" width="9.140625" style="9" customWidth="1"/>
    <col min="75" max="16384" width="9.140625" style="9"/>
  </cols>
  <sheetData>
    <row r="1" spans="2:39" ht="15.75" x14ac:dyDescent="0.25">
      <c r="B1" s="5" t="str">
        <f>Assumptions!$B$4</f>
        <v>TALK Toastmasters Manurewa</v>
      </c>
      <c r="C1" s="18"/>
      <c r="O1" s="66"/>
      <c r="AA1" s="66"/>
      <c r="AM1" s="66"/>
    </row>
    <row r="2" spans="2:39" ht="15" customHeight="1" x14ac:dyDescent="0.2">
      <c r="B2" s="8" t="s">
        <v>79</v>
      </c>
      <c r="C2" s="18"/>
      <c r="O2" s="66"/>
      <c r="AA2" s="66"/>
      <c r="AM2" s="66"/>
    </row>
    <row r="3" spans="2:39" ht="15" customHeight="1" x14ac:dyDescent="0.2">
      <c r="B3" s="38" t="s">
        <v>133</v>
      </c>
    </row>
    <row r="4" spans="2:39" s="68" customFormat="1" ht="18" customHeight="1" x14ac:dyDescent="0.2">
      <c r="B4" s="67"/>
      <c r="C4" s="46">
        <f ca="1">IF(ISBLANK(Assumptions!$B$5)=TRUE,DATE(YEAR(TODAY()),MONTH(TODAY()),0),DATE(YEAR(Assumptions!$B$5),MONTH(Assumptions!$B$5),0))</f>
        <v>45838</v>
      </c>
      <c r="D4" s="46">
        <f ca="1">IF(ISBLANK(Assumptions!$B$5)=TRUE,DATE(YEAR(TODAY()),MONTH(TODAY())+1,0),DATE(YEAR(Assumptions!$B$5),MONTH(Assumptions!$B$5)+1,0))</f>
        <v>45869</v>
      </c>
      <c r="E4" s="46">
        <f ca="1">DATE(YEAR(D4),MONTH(D4)+2,0)</f>
        <v>45900</v>
      </c>
      <c r="F4" s="46">
        <f t="shared" ref="F4:N4" ca="1" si="0">DATE(YEAR(E4),MONTH(E4)+2,0)</f>
        <v>45930</v>
      </c>
      <c r="G4" s="46">
        <f t="shared" ca="1" si="0"/>
        <v>45961</v>
      </c>
      <c r="H4" s="46">
        <f t="shared" ca="1" si="0"/>
        <v>45991</v>
      </c>
      <c r="I4" s="46">
        <f t="shared" ca="1" si="0"/>
        <v>46022</v>
      </c>
      <c r="J4" s="46">
        <f t="shared" ca="1" si="0"/>
        <v>46053</v>
      </c>
      <c r="K4" s="46">
        <f t="shared" ca="1" si="0"/>
        <v>46081</v>
      </c>
      <c r="L4" s="46">
        <f t="shared" ca="1" si="0"/>
        <v>46112</v>
      </c>
      <c r="M4" s="46">
        <f t="shared" ca="1" si="0"/>
        <v>46142</v>
      </c>
      <c r="N4" s="46">
        <f t="shared" ca="1" si="0"/>
        <v>46173</v>
      </c>
      <c r="O4" s="46">
        <f ca="1">DATE(YEAR(N4),MONTH(N4)+2,0)</f>
        <v>46203</v>
      </c>
      <c r="P4" s="46">
        <f ca="1">DATE(YEAR(O4),MONTH(O4)+2,0)</f>
        <v>46234</v>
      </c>
      <c r="Q4" s="46">
        <f t="shared" ref="Q4:AA4" ca="1" si="1">DATE(YEAR(P4),MONTH(P4)+2,0)</f>
        <v>46265</v>
      </c>
      <c r="R4" s="46">
        <f t="shared" ca="1" si="1"/>
        <v>46295</v>
      </c>
      <c r="S4" s="46">
        <f t="shared" ca="1" si="1"/>
        <v>46326</v>
      </c>
      <c r="T4" s="46">
        <f t="shared" ca="1" si="1"/>
        <v>46356</v>
      </c>
      <c r="U4" s="46">
        <f t="shared" ca="1" si="1"/>
        <v>46387</v>
      </c>
      <c r="V4" s="46">
        <f t="shared" ca="1" si="1"/>
        <v>46418</v>
      </c>
      <c r="W4" s="46">
        <f t="shared" ca="1" si="1"/>
        <v>46446</v>
      </c>
      <c r="X4" s="46">
        <f t="shared" ca="1" si="1"/>
        <v>46477</v>
      </c>
      <c r="Y4" s="46">
        <f t="shared" ca="1" si="1"/>
        <v>46507</v>
      </c>
      <c r="Z4" s="46">
        <f t="shared" ca="1" si="1"/>
        <v>46538</v>
      </c>
      <c r="AA4" s="46">
        <f t="shared" ca="1" si="1"/>
        <v>46568</v>
      </c>
      <c r="AB4" s="46">
        <f ca="1">DATE(YEAR(AA4),MONTH(AA4)+2,0)</f>
        <v>46599</v>
      </c>
      <c r="AC4" s="46">
        <f t="shared" ref="AC4:AM4" ca="1" si="2">DATE(YEAR(AB4),MONTH(AB4)+2,0)</f>
        <v>46630</v>
      </c>
      <c r="AD4" s="46">
        <f t="shared" ca="1" si="2"/>
        <v>46660</v>
      </c>
      <c r="AE4" s="46">
        <f t="shared" ca="1" si="2"/>
        <v>46691</v>
      </c>
      <c r="AF4" s="46">
        <f t="shared" ca="1" si="2"/>
        <v>46721</v>
      </c>
      <c r="AG4" s="46">
        <f t="shared" ca="1" si="2"/>
        <v>46752</v>
      </c>
      <c r="AH4" s="46">
        <f t="shared" ca="1" si="2"/>
        <v>46783</v>
      </c>
      <c r="AI4" s="46">
        <f t="shared" ca="1" si="2"/>
        <v>46812</v>
      </c>
      <c r="AJ4" s="46">
        <f t="shared" ca="1" si="2"/>
        <v>46843</v>
      </c>
      <c r="AK4" s="46">
        <f t="shared" ca="1" si="2"/>
        <v>46873</v>
      </c>
      <c r="AL4" s="46">
        <f t="shared" ca="1" si="2"/>
        <v>46904</v>
      </c>
      <c r="AM4" s="46">
        <f t="shared" ca="1" si="2"/>
        <v>46934</v>
      </c>
    </row>
    <row r="5" spans="2:39" s="37" customFormat="1" ht="15" customHeight="1" x14ac:dyDescent="0.2">
      <c r="B5" s="37" t="s">
        <v>11</v>
      </c>
      <c r="C5" s="50"/>
      <c r="D5" s="49"/>
      <c r="E5" s="50"/>
      <c r="F5" s="50"/>
      <c r="G5" s="50"/>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row>
    <row r="6" spans="2:39" ht="15" customHeight="1" x14ac:dyDescent="0.2">
      <c r="B6" s="9" t="s">
        <v>33</v>
      </c>
      <c r="C6" s="10">
        <f>Assumptions!$B$17</f>
        <v>0</v>
      </c>
      <c r="D6" s="10">
        <f>C6-Forecast!C53-Forecast!C23</f>
        <v>0</v>
      </c>
      <c r="E6" s="10">
        <v>0</v>
      </c>
      <c r="F6" s="10">
        <v>0</v>
      </c>
      <c r="G6" s="10">
        <v>0</v>
      </c>
      <c r="H6" s="10">
        <v>0</v>
      </c>
      <c r="I6" s="10">
        <v>0</v>
      </c>
      <c r="J6" s="10">
        <v>0</v>
      </c>
      <c r="K6" s="10">
        <v>0</v>
      </c>
      <c r="L6" s="10">
        <v>0</v>
      </c>
      <c r="M6" s="10">
        <v>0</v>
      </c>
      <c r="N6" s="10">
        <v>0</v>
      </c>
      <c r="O6" s="10">
        <v>0</v>
      </c>
      <c r="P6" s="10">
        <v>0</v>
      </c>
      <c r="Q6" s="10">
        <f>P6-Forecast!Q53-Forecast!Q23</f>
        <v>-1710</v>
      </c>
      <c r="R6" s="10">
        <f>Q6-Forecast!R53-Forecast!R23</f>
        <v>-3420</v>
      </c>
      <c r="S6" s="10">
        <f>R6-Forecast!S53-Forecast!S23</f>
        <v>-5130</v>
      </c>
      <c r="T6" s="10">
        <f>S6-Forecast!T53-Forecast!T23</f>
        <v>-6840</v>
      </c>
      <c r="U6" s="10">
        <f>T6-Forecast!U53-Forecast!U23</f>
        <v>-8550</v>
      </c>
      <c r="V6" s="10">
        <f>U6-Forecast!V53-Forecast!V23</f>
        <v>-10260</v>
      </c>
      <c r="W6" s="10">
        <f>V6-Forecast!W53-Forecast!W23</f>
        <v>-9040</v>
      </c>
      <c r="X6" s="10">
        <f>W6-Forecast!X53-Forecast!X23</f>
        <v>-10820</v>
      </c>
      <c r="Y6" s="10">
        <f>X6-Forecast!Y53-Forecast!Y23</f>
        <v>-12600</v>
      </c>
      <c r="Z6" s="10">
        <f>Y6-Forecast!Z53-Forecast!Z23</f>
        <v>-14380</v>
      </c>
      <c r="AA6" s="10">
        <f>Z6-Forecast!AA53-Forecast!AA23</f>
        <v>-16160</v>
      </c>
      <c r="AB6" s="10">
        <f>AA6-Forecast!AC53-Forecast!AC23</f>
        <v>-17590</v>
      </c>
      <c r="AC6" s="10">
        <f>AB6-Forecast!AD53-Forecast!AD23</f>
        <v>-10990</v>
      </c>
      <c r="AD6" s="10">
        <f>AC6-Forecast!AE53-Forecast!AE23</f>
        <v>-12590</v>
      </c>
      <c r="AE6" s="10">
        <f>AD6-Forecast!AF53-Forecast!AF23</f>
        <v>-14190</v>
      </c>
      <c r="AF6" s="10">
        <f>AE6-Forecast!AG53-Forecast!AG23</f>
        <v>-15790</v>
      </c>
      <c r="AG6" s="10">
        <f>AF6-Forecast!AH53-Forecast!AH23</f>
        <v>-17390</v>
      </c>
      <c r="AH6" s="10">
        <f>AG6-Forecast!AI53-Forecast!AI23</f>
        <v>-18990</v>
      </c>
      <c r="AI6" s="10">
        <f>AH6-Forecast!AJ53-Forecast!AJ23</f>
        <v>-20590</v>
      </c>
      <c r="AJ6" s="10">
        <f>AI6-Forecast!AK53-Forecast!AK23</f>
        <v>-22190</v>
      </c>
      <c r="AK6" s="10">
        <f>AJ6-Forecast!AL53-Forecast!AL23</f>
        <v>-14490</v>
      </c>
      <c r="AL6" s="10">
        <f>AK6-Forecast!AM53-Forecast!AM23</f>
        <v>-16290</v>
      </c>
      <c r="AM6" s="10">
        <f>AL6-Forecast!AN53-Forecast!AN23</f>
        <v>-18090</v>
      </c>
    </row>
    <row r="7" spans="2:39" ht="15" customHeight="1" x14ac:dyDescent="0.2">
      <c r="B7" s="8" t="s">
        <v>12</v>
      </c>
      <c r="C7" s="10"/>
      <c r="D7" s="10"/>
      <c r="E7" s="10"/>
      <c r="F7" s="10"/>
      <c r="G7" s="10"/>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row>
    <row r="8" spans="2:39" ht="15" customHeight="1" x14ac:dyDescent="0.2">
      <c r="B8" s="9" t="s">
        <v>5</v>
      </c>
      <c r="C8" s="10">
        <f>Assumptions!$B$18</f>
        <v>0</v>
      </c>
      <c r="D8" s="10">
        <v>0</v>
      </c>
      <c r="E8" s="10">
        <v>0</v>
      </c>
      <c r="F8" s="10">
        <v>0</v>
      </c>
      <c r="G8" s="10">
        <v>0</v>
      </c>
      <c r="H8" s="10">
        <v>0</v>
      </c>
      <c r="I8" s="10">
        <v>0</v>
      </c>
      <c r="J8" s="10">
        <v>0</v>
      </c>
      <c r="K8" s="10">
        <v>0</v>
      </c>
      <c r="L8" s="10">
        <v>0</v>
      </c>
      <c r="M8" s="10">
        <v>0</v>
      </c>
      <c r="N8" s="10">
        <v>0</v>
      </c>
      <c r="O8" s="10">
        <v>0</v>
      </c>
      <c r="P8" s="10">
        <v>0</v>
      </c>
      <c r="Q8" s="10" t="e">
        <f ca="1">Forecast!#REF!/Q22*Assumptions!$B$13</f>
        <v>#REF!</v>
      </c>
      <c r="R8" s="10" t="e">
        <f ca="1">Forecast!#REF!/R22*Assumptions!$B$13</f>
        <v>#REF!</v>
      </c>
      <c r="S8" s="10" t="e">
        <f ca="1">Forecast!#REF!/S22*Assumptions!$B$13</f>
        <v>#REF!</v>
      </c>
      <c r="T8" s="10" t="e">
        <f ca="1">Forecast!#REF!/T22*Assumptions!$B$13</f>
        <v>#REF!</v>
      </c>
      <c r="U8" s="10" t="e">
        <f ca="1">Forecast!#REF!/U22*Assumptions!$B$13</f>
        <v>#REF!</v>
      </c>
      <c r="V8" s="10" t="e">
        <f ca="1">Forecast!#REF!/V22*Assumptions!$B$13</f>
        <v>#REF!</v>
      </c>
      <c r="W8" s="10" t="e">
        <f ca="1">Forecast!#REF!/W22*Assumptions!$B$13</f>
        <v>#REF!</v>
      </c>
      <c r="X8" s="10" t="e">
        <f ca="1">Forecast!#REF!/X22*Assumptions!$B$13</f>
        <v>#REF!</v>
      </c>
      <c r="Y8" s="10" t="e">
        <f ca="1">Forecast!#REF!/Y22*Assumptions!$B$13</f>
        <v>#REF!</v>
      </c>
      <c r="Z8" s="10" t="e">
        <f ca="1">Forecast!#REF!/Z22*Assumptions!$B$13</f>
        <v>#REF!</v>
      </c>
      <c r="AA8" s="10" t="e">
        <f ca="1">Forecast!#REF!/AA22*Assumptions!$B$13</f>
        <v>#REF!</v>
      </c>
      <c r="AB8" s="10" t="e">
        <f ca="1">Forecast!#REF!/AB22*Assumptions!$B$13</f>
        <v>#REF!</v>
      </c>
      <c r="AC8" s="10" t="e">
        <f ca="1">Forecast!#REF!/AC22*Assumptions!$B$13</f>
        <v>#REF!</v>
      </c>
      <c r="AD8" s="10" t="e">
        <f ca="1">Forecast!#REF!/AD22*Assumptions!$B$13</f>
        <v>#REF!</v>
      </c>
      <c r="AE8" s="10" t="e">
        <f ca="1">Forecast!#REF!/AE22*Assumptions!$B$13</f>
        <v>#REF!</v>
      </c>
      <c r="AF8" s="10" t="e">
        <f ca="1">Forecast!#REF!/AF22*Assumptions!$B$13</f>
        <v>#REF!</v>
      </c>
      <c r="AG8" s="10" t="e">
        <f ca="1">Forecast!#REF!/AG22*Assumptions!$B$13</f>
        <v>#REF!</v>
      </c>
      <c r="AH8" s="10" t="e">
        <f ca="1">Forecast!#REF!/AH22*Assumptions!$B$13</f>
        <v>#REF!</v>
      </c>
      <c r="AI8" s="10" t="e">
        <f ca="1">Forecast!#REF!/AI22*Assumptions!$B$13</f>
        <v>#REF!</v>
      </c>
      <c r="AJ8" s="10" t="e">
        <f ca="1">Forecast!#REF!/AJ22*Assumptions!$B$13</f>
        <v>#REF!</v>
      </c>
      <c r="AK8" s="10" t="e">
        <f ca="1">Forecast!#REF!/AK22*Assumptions!$B$13</f>
        <v>#REF!</v>
      </c>
      <c r="AL8" s="10" t="e">
        <f ca="1">Forecast!#REF!/AL22*Assumptions!$B$13</f>
        <v>#REF!</v>
      </c>
      <c r="AM8" s="10" t="e">
        <f ca="1">Forecast!#REF!/AM22*Assumptions!$B$13</f>
        <v>#REF!</v>
      </c>
    </row>
    <row r="9" spans="2:39" ht="15" customHeight="1" x14ac:dyDescent="0.2">
      <c r="B9" s="9" t="s">
        <v>60</v>
      </c>
      <c r="C9" s="10">
        <f>Assumptions!$B$19</f>
        <v>0</v>
      </c>
      <c r="D9" s="10">
        <f ca="1">(Forecast!C$8/D22*Assumptions!$B$14*Assumptions!$B$36*(1+Assumptions!$B$35))+(Forecast!C$8/D22*Assumptions!$B$14*(1-Assumptions!$B$36))</f>
        <v>0</v>
      </c>
      <c r="E9" s="10">
        <f ca="1">(Forecast!D$8/E22*Assumptions!$B$14*Assumptions!$B$36*(1+Assumptions!$B$35))+(Forecast!D$8/E22*Assumptions!$B$14*(1-Assumptions!$B$36))</f>
        <v>0</v>
      </c>
      <c r="F9" s="10">
        <f ca="1">(Forecast!E$8/F22*Assumptions!$B$14*Assumptions!$B$36*(1+Assumptions!$B$35))+(Forecast!E$8/F22*Assumptions!$B$14*(1-Assumptions!$B$36))</f>
        <v>0</v>
      </c>
      <c r="G9" s="10">
        <f ca="1">(Forecast!F$8/G22*Assumptions!$B$14*Assumptions!$B$36*(1+Assumptions!$B$35))+(Forecast!F$8/G22*Assumptions!$B$14*(1-Assumptions!$B$36))</f>
        <v>0</v>
      </c>
      <c r="H9" s="10">
        <f ca="1">(Forecast!G$8/H22*Assumptions!$B$14*Assumptions!$B$36*(1+Assumptions!$B$35))+(Forecast!G$8/H22*Assumptions!$B$14*(1-Assumptions!$B$36))</f>
        <v>0</v>
      </c>
      <c r="I9" s="10">
        <f ca="1">(Forecast!H$8/I22*Assumptions!$B$14*Assumptions!$B$36*(1+Assumptions!$B$35))+(Forecast!H$8/I22*Assumptions!$B$14*(1-Assumptions!$B$36))</f>
        <v>0</v>
      </c>
      <c r="J9" s="10">
        <f ca="1">(Forecast!I$8/J22*Assumptions!$B$14*Assumptions!$B$36*(1+Assumptions!$B$35))+(Forecast!I$8/J22*Assumptions!$B$14*(1-Assumptions!$B$36))</f>
        <v>0</v>
      </c>
      <c r="K9" s="10">
        <f ca="1">(Forecast!J$8/K22*Assumptions!$B$14*Assumptions!$B$36*(1+Assumptions!$B$35))+(Forecast!J$8/K22*Assumptions!$B$14*(1-Assumptions!$B$36))</f>
        <v>0</v>
      </c>
      <c r="L9" s="10">
        <f ca="1">(Forecast!K$8/L22*Assumptions!$B$14*Assumptions!$B$36*(1+Assumptions!$B$35))+(Forecast!K$8/L22*Assumptions!$B$14*(1-Assumptions!$B$36))</f>
        <v>0</v>
      </c>
      <c r="M9" s="10">
        <f ca="1">(Forecast!L$8/M22*Assumptions!$B$14*Assumptions!$B$36*(1+Assumptions!$B$35))+(Forecast!L$8/M22*Assumptions!$B$14*(1-Assumptions!$B$36))</f>
        <v>0</v>
      </c>
      <c r="N9" s="10">
        <f ca="1">(Forecast!M$8/N22*Assumptions!$B$14*Assumptions!$B$36*(1+Assumptions!$B$35))+(Forecast!M$8/N22*Assumptions!$B$14*(1-Assumptions!$B$36))</f>
        <v>0</v>
      </c>
      <c r="O9" s="10">
        <f ca="1">(Forecast!N$8/O22*Assumptions!$B$14*Assumptions!$B$36*(1+Assumptions!$B$35))+(Forecast!N$8/O22*Assumptions!$B$14*(1-Assumptions!$B$36))</f>
        <v>0</v>
      </c>
      <c r="P9" s="10">
        <f ca="1">(Forecast!P$8/P22*Assumptions!$B$14*Assumptions!$B$36*(1+Assumptions!$B$35))+(Forecast!P$8/P22*Assumptions!$B$14*(1-Assumptions!$B$36))</f>
        <v>0</v>
      </c>
      <c r="Q9" s="10">
        <f ca="1">(Forecast!Q$8/Q22*Assumptions!$B$14*Assumptions!$B$36*(1+Assumptions!$B$35))+(Forecast!Q$8/Q22*Assumptions!$B$14*(1-Assumptions!$B$36))</f>
        <v>0</v>
      </c>
      <c r="R9" s="10">
        <f ca="1">(Forecast!R$8/R22*Assumptions!$B$14*Assumptions!$B$36*(1+Assumptions!$B$35))+(Forecast!R$8/R22*Assumptions!$B$14*(1-Assumptions!$B$36))</f>
        <v>0</v>
      </c>
      <c r="S9" s="10">
        <f ca="1">(Forecast!S$8/S22*Assumptions!$B$14*Assumptions!$B$36*(1+Assumptions!$B$35))+(Forecast!S$8/S22*Assumptions!$B$14*(1-Assumptions!$B$36))</f>
        <v>0</v>
      </c>
      <c r="T9" s="10">
        <f ca="1">(Forecast!T$8/T22*Assumptions!$B$14*Assumptions!$B$36*(1+Assumptions!$B$35))+(Forecast!T$8/T22*Assumptions!$B$14*(1-Assumptions!$B$36))</f>
        <v>0</v>
      </c>
      <c r="U9" s="10">
        <f ca="1">(Forecast!U$8/U22*Assumptions!$B$14*Assumptions!$B$36*(1+Assumptions!$B$35))+(Forecast!U$8/U22*Assumptions!$B$14*(1-Assumptions!$B$36))</f>
        <v>0</v>
      </c>
      <c r="V9" s="10">
        <f ca="1">(Forecast!V$8/V22*Assumptions!$B$14*Assumptions!$B$36*(1+Assumptions!$B$35))+(Forecast!V$8/V22*Assumptions!$B$14*(1-Assumptions!$B$36))</f>
        <v>0</v>
      </c>
      <c r="W9" s="10">
        <f ca="1">(Forecast!W$8/W22*Assumptions!$B$14*Assumptions!$B$36*(1+Assumptions!$B$35))+(Forecast!W$8/W22*Assumptions!$B$14*(1-Assumptions!$B$36))</f>
        <v>0</v>
      </c>
      <c r="X9" s="10">
        <f ca="1">(Forecast!X$8/X22*Assumptions!$B$14*Assumptions!$B$36*(1+Assumptions!$B$35))+(Forecast!X$8/X22*Assumptions!$B$14*(1-Assumptions!$B$36))</f>
        <v>0</v>
      </c>
      <c r="Y9" s="10">
        <f ca="1">(Forecast!Y$8/Y22*Assumptions!$B$14*Assumptions!$B$36*(1+Assumptions!$B$35))+(Forecast!Y$8/Y22*Assumptions!$B$14*(1-Assumptions!$B$36))</f>
        <v>0</v>
      </c>
      <c r="Z9" s="10">
        <f ca="1">(Forecast!Z$8/Z22*Assumptions!$B$14*Assumptions!$B$36*(1+Assumptions!$B$35))+(Forecast!Z$8/Z22*Assumptions!$B$14*(1-Assumptions!$B$36))</f>
        <v>0</v>
      </c>
      <c r="AA9" s="10">
        <f ca="1">(Forecast!AA$8/AA22*Assumptions!$B$14*Assumptions!$B$36*(1+Assumptions!$B$35))+(Forecast!AA$8/AA22*Assumptions!$B$14*(1-Assumptions!$B$36))</f>
        <v>0</v>
      </c>
      <c r="AB9" s="10">
        <f ca="1">(Forecast!AC$8/AB22*Assumptions!$B$14*Assumptions!$B$36*(1+Assumptions!$B$35))+(Forecast!AC$8/AB22*Assumptions!$B$14*(1-Assumptions!$B$36))</f>
        <v>0</v>
      </c>
      <c r="AC9" s="10">
        <f ca="1">(Forecast!AD$8/AC22*Assumptions!$B$14*Assumptions!$B$36*(1+Assumptions!$B$35))+(Forecast!AD$8/AC22*Assumptions!$B$14*(1-Assumptions!$B$36))</f>
        <v>0</v>
      </c>
      <c r="AD9" s="10">
        <f ca="1">(Forecast!AE$8/AD22*Assumptions!$B$14*Assumptions!$B$36*(1+Assumptions!$B$35))+(Forecast!AE$8/AD22*Assumptions!$B$14*(1-Assumptions!$B$36))</f>
        <v>0</v>
      </c>
      <c r="AE9" s="10">
        <f ca="1">(Forecast!AF$8/AE22*Assumptions!$B$14*Assumptions!$B$36*(1+Assumptions!$B$35))+(Forecast!AF$8/AE22*Assumptions!$B$14*(1-Assumptions!$B$36))</f>
        <v>0</v>
      </c>
      <c r="AF9" s="10">
        <f ca="1">(Forecast!AG$8/AF22*Assumptions!$B$14*Assumptions!$B$36*(1+Assumptions!$B$35))+(Forecast!AG$8/AF22*Assumptions!$B$14*(1-Assumptions!$B$36))</f>
        <v>0</v>
      </c>
      <c r="AG9" s="10">
        <f ca="1">(Forecast!AH$8/AG22*Assumptions!$B$14*Assumptions!$B$36*(1+Assumptions!$B$35))+(Forecast!AH$8/AG22*Assumptions!$B$14*(1-Assumptions!$B$36))</f>
        <v>0</v>
      </c>
      <c r="AH9" s="10">
        <f ca="1">(Forecast!AI$8/AH22*Assumptions!$B$14*Assumptions!$B$36*(1+Assumptions!$B$35))+(Forecast!AI$8/AH22*Assumptions!$B$14*(1-Assumptions!$B$36))</f>
        <v>0</v>
      </c>
      <c r="AI9" s="10">
        <f ca="1">(Forecast!AJ$8/AI22*Assumptions!$B$14*Assumptions!$B$36*(1+Assumptions!$B$35))+(Forecast!AJ$8/AI22*Assumptions!$B$14*(1-Assumptions!$B$36))</f>
        <v>0</v>
      </c>
      <c r="AJ9" s="10">
        <f ca="1">(Forecast!AK$8/AJ22*Assumptions!$B$14*Assumptions!$B$36*(1+Assumptions!$B$35))+(Forecast!AK$8/AJ22*Assumptions!$B$14*(1-Assumptions!$B$36))</f>
        <v>0</v>
      </c>
      <c r="AK9" s="10">
        <f ca="1">(Forecast!AL$8/AK22*Assumptions!$B$14*Assumptions!$B$36*(1+Assumptions!$B$35))+(Forecast!AL$8/AK22*Assumptions!$B$14*(1-Assumptions!$B$36))</f>
        <v>0</v>
      </c>
      <c r="AL9" s="10">
        <f ca="1">(Forecast!AM$8/AL22*Assumptions!$B$14*Assumptions!$B$36*(1+Assumptions!$B$35))+(Forecast!AM$8/AL22*Assumptions!$B$14*(1-Assumptions!$B$36))</f>
        <v>0</v>
      </c>
      <c r="AM9" s="10">
        <f ca="1">(Forecast!AN$8/AM22*Assumptions!$B$14*Assumptions!$B$36*(1+Assumptions!$B$35))+(Forecast!AN$8/AM22*Assumptions!$B$14*(1-Assumptions!$B$36))</f>
        <v>0</v>
      </c>
    </row>
    <row r="10" spans="2:39" ht="15" customHeight="1" x14ac:dyDescent="0.2">
      <c r="B10" s="9" t="s">
        <v>13</v>
      </c>
      <c r="C10" s="10">
        <f>Assumptions!$B$20</f>
        <v>0</v>
      </c>
      <c r="D10" s="10" t="e">
        <f ca="1">Forecast!C66</f>
        <v>#REF!</v>
      </c>
      <c r="E10" s="10" t="e">
        <f ca="1">Forecast!C66</f>
        <v>#REF!</v>
      </c>
      <c r="F10" s="10" t="e">
        <f ca="1">Forecast!E66</f>
        <v>#REF!</v>
      </c>
      <c r="G10" s="10" t="e">
        <f ca="1">Forecast!F66</f>
        <v>#REF!</v>
      </c>
      <c r="H10" s="10" t="e">
        <f ca="1">Forecast!G66</f>
        <v>#REF!</v>
      </c>
      <c r="I10" s="10" t="e">
        <f ca="1">Forecast!H66</f>
        <v>#REF!</v>
      </c>
      <c r="J10" s="10" t="e">
        <f ca="1">Forecast!I66</f>
        <v>#REF!</v>
      </c>
      <c r="K10" s="10" t="e">
        <f ca="1">Forecast!J66</f>
        <v>#REF!</v>
      </c>
      <c r="L10" s="10" t="e">
        <f ca="1">Forecast!K66</f>
        <v>#REF!</v>
      </c>
      <c r="M10" s="10" t="e">
        <f ca="1">Forecast!L66</f>
        <v>#REF!</v>
      </c>
      <c r="N10" s="10" t="e">
        <f ca="1">Forecast!M66</f>
        <v>#REF!</v>
      </c>
      <c r="O10" s="10" t="e">
        <f ca="1">Forecast!N66</f>
        <v>#REF!</v>
      </c>
      <c r="P10" s="10" t="e">
        <f ca="1">Forecast!P66</f>
        <v>#REF!</v>
      </c>
      <c r="Q10" s="10" t="e">
        <f ca="1">Forecast!Q66</f>
        <v>#REF!</v>
      </c>
      <c r="R10" s="10" t="e">
        <f ca="1">Forecast!R66</f>
        <v>#REF!</v>
      </c>
      <c r="S10" s="10" t="e">
        <f ca="1">Forecast!S66</f>
        <v>#REF!</v>
      </c>
      <c r="T10" s="10" t="e">
        <f ca="1">Forecast!T66</f>
        <v>#REF!</v>
      </c>
      <c r="U10" s="10" t="e">
        <f ca="1">Forecast!U66</f>
        <v>#REF!</v>
      </c>
      <c r="V10" s="10" t="e">
        <f ca="1">Forecast!V66</f>
        <v>#REF!</v>
      </c>
      <c r="W10" s="10" t="e">
        <f ca="1">Forecast!W66</f>
        <v>#REF!</v>
      </c>
      <c r="X10" s="10" t="e">
        <f ca="1">Forecast!X66</f>
        <v>#REF!</v>
      </c>
      <c r="Y10" s="10" t="e">
        <f ca="1">Forecast!Y66</f>
        <v>#REF!</v>
      </c>
      <c r="Z10" s="10" t="e">
        <f ca="1">Forecast!Z66</f>
        <v>#REF!</v>
      </c>
      <c r="AA10" s="10" t="e">
        <f ca="1">Forecast!AA66</f>
        <v>#REF!</v>
      </c>
      <c r="AB10" s="10" t="e">
        <f ca="1">Forecast!AC66</f>
        <v>#REF!</v>
      </c>
      <c r="AC10" s="10" t="e">
        <f ca="1">Forecast!AD66</f>
        <v>#REF!</v>
      </c>
      <c r="AD10" s="10" t="e">
        <f ca="1">Forecast!AE66</f>
        <v>#REF!</v>
      </c>
      <c r="AE10" s="10" t="e">
        <f ca="1">Forecast!AF66</f>
        <v>#REF!</v>
      </c>
      <c r="AF10" s="10" t="e">
        <f ca="1">Forecast!AG66</f>
        <v>#REF!</v>
      </c>
      <c r="AG10" s="10" t="e">
        <f ca="1">Forecast!AH66</f>
        <v>#REF!</v>
      </c>
      <c r="AH10" s="10" t="e">
        <f ca="1">Forecast!AI66</f>
        <v>#REF!</v>
      </c>
      <c r="AI10" s="10" t="e">
        <f ca="1">Forecast!AJ66</f>
        <v>#REF!</v>
      </c>
      <c r="AJ10" s="10" t="e">
        <f ca="1">Forecast!AK66</f>
        <v>#REF!</v>
      </c>
      <c r="AK10" s="10" t="e">
        <f ca="1">Forecast!AL66</f>
        <v>#REF!</v>
      </c>
      <c r="AL10" s="10" t="e">
        <f ca="1">Forecast!AM66</f>
        <v>#REF!</v>
      </c>
      <c r="AM10" s="10" t="e">
        <f ca="1">Forecast!AN66</f>
        <v>#REF!</v>
      </c>
    </row>
    <row r="11" spans="2:39" s="37" customFormat="1" ht="15" customHeight="1" thickBot="1" x14ac:dyDescent="0.25">
      <c r="C11" s="53">
        <f t="shared" ref="C11:AM11" si="3">SUM(C6:C10)</f>
        <v>0</v>
      </c>
      <c r="D11" s="53" t="e">
        <f t="shared" ca="1" si="3"/>
        <v>#REF!</v>
      </c>
      <c r="E11" s="53" t="e">
        <f t="shared" ca="1" si="3"/>
        <v>#REF!</v>
      </c>
      <c r="F11" s="53" t="e">
        <f t="shared" ca="1" si="3"/>
        <v>#REF!</v>
      </c>
      <c r="G11" s="53" t="e">
        <f t="shared" ca="1" si="3"/>
        <v>#REF!</v>
      </c>
      <c r="H11" s="53" t="e">
        <f t="shared" ca="1" si="3"/>
        <v>#REF!</v>
      </c>
      <c r="I11" s="53" t="e">
        <f t="shared" ca="1" si="3"/>
        <v>#REF!</v>
      </c>
      <c r="J11" s="53" t="e">
        <f t="shared" ca="1" si="3"/>
        <v>#REF!</v>
      </c>
      <c r="K11" s="53" t="e">
        <f t="shared" ca="1" si="3"/>
        <v>#REF!</v>
      </c>
      <c r="L11" s="53" t="e">
        <f t="shared" ca="1" si="3"/>
        <v>#REF!</v>
      </c>
      <c r="M11" s="53" t="e">
        <f t="shared" ca="1" si="3"/>
        <v>#REF!</v>
      </c>
      <c r="N11" s="53" t="e">
        <f t="shared" ca="1" si="3"/>
        <v>#REF!</v>
      </c>
      <c r="O11" s="53" t="e">
        <f t="shared" ca="1" si="3"/>
        <v>#REF!</v>
      </c>
      <c r="P11" s="53" t="e">
        <f t="shared" ca="1" si="3"/>
        <v>#REF!</v>
      </c>
      <c r="Q11" s="53" t="e">
        <f t="shared" ca="1" si="3"/>
        <v>#REF!</v>
      </c>
      <c r="R11" s="53" t="e">
        <f t="shared" ca="1" si="3"/>
        <v>#REF!</v>
      </c>
      <c r="S11" s="53" t="e">
        <f t="shared" ca="1" si="3"/>
        <v>#REF!</v>
      </c>
      <c r="T11" s="53" t="e">
        <f t="shared" ca="1" si="3"/>
        <v>#REF!</v>
      </c>
      <c r="U11" s="53" t="e">
        <f t="shared" ca="1" si="3"/>
        <v>#REF!</v>
      </c>
      <c r="V11" s="53" t="e">
        <f t="shared" ca="1" si="3"/>
        <v>#REF!</v>
      </c>
      <c r="W11" s="53" t="e">
        <f t="shared" ca="1" si="3"/>
        <v>#REF!</v>
      </c>
      <c r="X11" s="53" t="e">
        <f t="shared" ca="1" si="3"/>
        <v>#REF!</v>
      </c>
      <c r="Y11" s="53" t="e">
        <f t="shared" ca="1" si="3"/>
        <v>#REF!</v>
      </c>
      <c r="Z11" s="53" t="e">
        <f t="shared" ca="1" si="3"/>
        <v>#REF!</v>
      </c>
      <c r="AA11" s="53" t="e">
        <f t="shared" ca="1" si="3"/>
        <v>#REF!</v>
      </c>
      <c r="AB11" s="53" t="e">
        <f t="shared" ca="1" si="3"/>
        <v>#REF!</v>
      </c>
      <c r="AC11" s="53" t="e">
        <f t="shared" ca="1" si="3"/>
        <v>#REF!</v>
      </c>
      <c r="AD11" s="53" t="e">
        <f t="shared" ca="1" si="3"/>
        <v>#REF!</v>
      </c>
      <c r="AE11" s="53" t="e">
        <f t="shared" ca="1" si="3"/>
        <v>#REF!</v>
      </c>
      <c r="AF11" s="53" t="e">
        <f t="shared" ca="1" si="3"/>
        <v>#REF!</v>
      </c>
      <c r="AG11" s="53" t="e">
        <f t="shared" ca="1" si="3"/>
        <v>#REF!</v>
      </c>
      <c r="AH11" s="53" t="e">
        <f t="shared" ca="1" si="3"/>
        <v>#REF!</v>
      </c>
      <c r="AI11" s="53" t="e">
        <f t="shared" ca="1" si="3"/>
        <v>#REF!</v>
      </c>
      <c r="AJ11" s="53" t="e">
        <f t="shared" ca="1" si="3"/>
        <v>#REF!</v>
      </c>
      <c r="AK11" s="53" t="e">
        <f t="shared" ca="1" si="3"/>
        <v>#REF!</v>
      </c>
      <c r="AL11" s="53" t="e">
        <f t="shared" ca="1" si="3"/>
        <v>#REF!</v>
      </c>
      <c r="AM11" s="53" t="e">
        <f t="shared" ca="1" si="3"/>
        <v>#REF!</v>
      </c>
    </row>
    <row r="12" spans="2:39" ht="15" customHeight="1" thickTop="1" x14ac:dyDescent="0.2">
      <c r="B12" s="37" t="s">
        <v>14</v>
      </c>
      <c r="C12" s="10"/>
      <c r="D12" s="10"/>
      <c r="E12" s="10"/>
      <c r="F12" s="10"/>
      <c r="G12" s="10"/>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row>
    <row r="13" spans="2:39" ht="15" customHeight="1" x14ac:dyDescent="0.2">
      <c r="B13" s="9" t="s">
        <v>34</v>
      </c>
      <c r="C13" s="10">
        <f>-Assumptions!$B$21</f>
        <v>0</v>
      </c>
      <c r="D13" s="10">
        <f>C13+Forecast!C57</f>
        <v>0</v>
      </c>
      <c r="E13" s="10">
        <f>D13+Forecast!D56</f>
        <v>0</v>
      </c>
      <c r="F13" s="10">
        <f>E13+Forecast!E57</f>
        <v>0</v>
      </c>
      <c r="G13" s="10">
        <f>F13+Forecast!F57</f>
        <v>50</v>
      </c>
      <c r="H13" s="10">
        <f>G13+Forecast!G57</f>
        <v>50</v>
      </c>
      <c r="I13" s="10">
        <f>H13+Forecast!H57</f>
        <v>50</v>
      </c>
      <c r="J13" s="10">
        <f>I13+Forecast!I57</f>
        <v>50</v>
      </c>
      <c r="K13" s="10">
        <f>J13+Forecast!J57</f>
        <v>50</v>
      </c>
      <c r="L13" s="10">
        <f>K13+Forecast!K57</f>
        <v>50</v>
      </c>
      <c r="M13" s="10">
        <f>L13+Forecast!L57</f>
        <v>50</v>
      </c>
      <c r="N13" s="10">
        <f>M13+Forecast!M57</f>
        <v>50</v>
      </c>
      <c r="O13" s="10">
        <f>N13+Forecast!N57</f>
        <v>50</v>
      </c>
      <c r="P13" s="10">
        <f>O13+Forecast!P57</f>
        <v>50</v>
      </c>
      <c r="Q13" s="10">
        <f>P13+Forecast!Q57</f>
        <v>50</v>
      </c>
      <c r="R13" s="10">
        <f>Q13+Forecast!R57</f>
        <v>50</v>
      </c>
      <c r="S13" s="10">
        <f>R13+Forecast!S57</f>
        <v>50</v>
      </c>
      <c r="T13" s="10">
        <f>S13+Forecast!T57</f>
        <v>50</v>
      </c>
      <c r="U13" s="10">
        <f>T13+Forecast!U57</f>
        <v>50</v>
      </c>
      <c r="V13" s="10">
        <f>U13+Forecast!V57</f>
        <v>50</v>
      </c>
      <c r="W13" s="10">
        <f>V13+Forecast!W57</f>
        <v>50</v>
      </c>
      <c r="X13" s="10">
        <f>W13+Forecast!X57</f>
        <v>50</v>
      </c>
      <c r="Y13" s="10">
        <f>X13+Forecast!Y57</f>
        <v>50</v>
      </c>
      <c r="Z13" s="10">
        <f>Y13+Forecast!Z57</f>
        <v>50</v>
      </c>
      <c r="AA13" s="10">
        <f>Z13+Forecast!AA57</f>
        <v>50</v>
      </c>
      <c r="AB13" s="10">
        <f>AA13+Forecast!AC57</f>
        <v>50</v>
      </c>
      <c r="AC13" s="10">
        <f>AB13+Forecast!AD57</f>
        <v>50</v>
      </c>
      <c r="AD13" s="10">
        <f>AC13+Forecast!AE57</f>
        <v>50</v>
      </c>
      <c r="AE13" s="10">
        <f>AD13+Forecast!AF57</f>
        <v>50</v>
      </c>
      <c r="AF13" s="10">
        <f>AE13+Forecast!AG57</f>
        <v>50</v>
      </c>
      <c r="AG13" s="10">
        <f>AF13+Forecast!AH57</f>
        <v>50</v>
      </c>
      <c r="AH13" s="10">
        <f>AG13+Forecast!AI57</f>
        <v>50</v>
      </c>
      <c r="AI13" s="10">
        <f>AH13+Forecast!AJ57</f>
        <v>50</v>
      </c>
      <c r="AJ13" s="10">
        <f>AI13+Forecast!AK57</f>
        <v>50</v>
      </c>
      <c r="AK13" s="10">
        <f>AJ13+Forecast!AL57</f>
        <v>50</v>
      </c>
      <c r="AL13" s="10">
        <f>AK13+Forecast!AM57</f>
        <v>50</v>
      </c>
      <c r="AM13" s="10">
        <f>AL13+Forecast!AN57</f>
        <v>50</v>
      </c>
    </row>
    <row r="14" spans="2:39" ht="15" customHeight="1" x14ac:dyDescent="0.2">
      <c r="B14" s="9" t="s">
        <v>15</v>
      </c>
      <c r="C14" s="10">
        <f>-Assumptions!$B$22</f>
        <v>0</v>
      </c>
      <c r="D14" s="10" t="e">
        <f ca="1">C14+Forecast!C30</f>
        <v>#REF!</v>
      </c>
      <c r="E14" s="10" t="e">
        <f ca="1">D14+Forecast!D29</f>
        <v>#REF!</v>
      </c>
      <c r="F14" s="10" t="e">
        <f ca="1">E14+Forecast!E30</f>
        <v>#REF!</v>
      </c>
      <c r="G14" s="10" t="e">
        <f ca="1">F14+Forecast!F30</f>
        <v>#REF!</v>
      </c>
      <c r="H14" s="10" t="e">
        <f ca="1">G14+Forecast!G30</f>
        <v>#REF!</v>
      </c>
      <c r="I14" s="10" t="e">
        <f ca="1">H14+Forecast!H30</f>
        <v>#REF!</v>
      </c>
      <c r="J14" s="10" t="e">
        <f ca="1">I14+Forecast!I30</f>
        <v>#REF!</v>
      </c>
      <c r="K14" s="10" t="e">
        <f ca="1">J14+Forecast!J30</f>
        <v>#REF!</v>
      </c>
      <c r="L14" s="10" t="e">
        <f ca="1">K14+Forecast!K30</f>
        <v>#REF!</v>
      </c>
      <c r="M14" s="10" t="e">
        <f ca="1">L14+Forecast!L30</f>
        <v>#REF!</v>
      </c>
      <c r="N14" s="10" t="e">
        <f ca="1">M14+Forecast!M30</f>
        <v>#REF!</v>
      </c>
      <c r="O14" s="10" t="e">
        <f ca="1">N14+Forecast!N30</f>
        <v>#REF!</v>
      </c>
      <c r="P14" s="10" t="e">
        <f ca="1">O14+Forecast!P30</f>
        <v>#REF!</v>
      </c>
      <c r="Q14" s="10" t="e">
        <f ca="1">P14+Forecast!Q30</f>
        <v>#REF!</v>
      </c>
      <c r="R14" s="10" t="e">
        <f ca="1">Q14+Forecast!R30</f>
        <v>#REF!</v>
      </c>
      <c r="S14" s="10" t="e">
        <f ca="1">R14+Forecast!S30</f>
        <v>#REF!</v>
      </c>
      <c r="T14" s="10" t="e">
        <f ca="1">S14+Forecast!T30</f>
        <v>#REF!</v>
      </c>
      <c r="U14" s="10" t="e">
        <f ca="1">T14+Forecast!U30</f>
        <v>#REF!</v>
      </c>
      <c r="V14" s="10" t="e">
        <f ca="1">U14+Forecast!V30</f>
        <v>#REF!</v>
      </c>
      <c r="W14" s="10" t="e">
        <f ca="1">V14+Forecast!W30</f>
        <v>#REF!</v>
      </c>
      <c r="X14" s="10" t="e">
        <f ca="1">W14+Forecast!X30</f>
        <v>#REF!</v>
      </c>
      <c r="Y14" s="10" t="e">
        <f ca="1">X14+Forecast!Y30</f>
        <v>#REF!</v>
      </c>
      <c r="Z14" s="10" t="e">
        <f ca="1">Y14+Forecast!Z30</f>
        <v>#REF!</v>
      </c>
      <c r="AA14" s="10" t="e">
        <f ca="1">Z14+Forecast!AA30</f>
        <v>#REF!</v>
      </c>
      <c r="AB14" s="10" t="e">
        <f ca="1">AA14+Forecast!AC30</f>
        <v>#REF!</v>
      </c>
      <c r="AC14" s="10" t="e">
        <f ca="1">AB14+Forecast!AD30</f>
        <v>#REF!</v>
      </c>
      <c r="AD14" s="10" t="e">
        <f ca="1">AC14+Forecast!AE30</f>
        <v>#REF!</v>
      </c>
      <c r="AE14" s="10" t="e">
        <f ca="1">AD14+Forecast!AF30</f>
        <v>#REF!</v>
      </c>
      <c r="AF14" s="10" t="e">
        <f ca="1">AE14+Forecast!AG30</f>
        <v>#REF!</v>
      </c>
      <c r="AG14" s="10" t="e">
        <f ca="1">AF14+Forecast!AH30</f>
        <v>#REF!</v>
      </c>
      <c r="AH14" s="10" t="e">
        <f ca="1">AG14+Forecast!AI30</f>
        <v>#REF!</v>
      </c>
      <c r="AI14" s="10" t="e">
        <f ca="1">AH14+Forecast!AJ30</f>
        <v>#REF!</v>
      </c>
      <c r="AJ14" s="10" t="e">
        <f ca="1">AI14+Forecast!AK30</f>
        <v>#REF!</v>
      </c>
      <c r="AK14" s="10" t="e">
        <f ca="1">AJ14+Forecast!AL30</f>
        <v>#REF!</v>
      </c>
      <c r="AL14" s="10" t="e">
        <f ca="1">AK14+Forecast!AM30</f>
        <v>#REF!</v>
      </c>
      <c r="AM14" s="10" t="e">
        <f ca="1">AL14+Forecast!AN30</f>
        <v>#REF!</v>
      </c>
    </row>
    <row r="15" spans="2:39" s="11" customFormat="1" ht="15" customHeight="1" x14ac:dyDescent="0.2">
      <c r="B15" s="11" t="s">
        <v>19</v>
      </c>
      <c r="C15" s="12">
        <f>-Assumptions!$B$23</f>
        <v>0</v>
      </c>
      <c r="D15" s="12" t="e">
        <f ca="1">C15+Forecast!C59+Forecast!C58</f>
        <v>#REF!</v>
      </c>
      <c r="E15" s="12" t="e">
        <f ca="1">D15+Forecast!D58+Forecast!D57</f>
        <v>#REF!</v>
      </c>
      <c r="F15" s="12" t="e">
        <f ca="1">E15+Forecast!E59+Forecast!E58</f>
        <v>#REF!</v>
      </c>
      <c r="G15" s="12" t="e">
        <f ca="1">F15+Forecast!F59+Forecast!F58</f>
        <v>#REF!</v>
      </c>
      <c r="H15" s="12" t="e">
        <f ca="1">G15+Forecast!G59+Forecast!G58</f>
        <v>#REF!</v>
      </c>
      <c r="I15" s="12" t="e">
        <f ca="1">H15+Forecast!H59+Forecast!H58</f>
        <v>#REF!</v>
      </c>
      <c r="J15" s="12" t="e">
        <f ca="1">I15+Forecast!I59+Forecast!I58</f>
        <v>#REF!</v>
      </c>
      <c r="K15" s="12" t="e">
        <f ca="1">J15+Forecast!J59+Forecast!J58</f>
        <v>#REF!</v>
      </c>
      <c r="L15" s="12" t="e">
        <f ca="1">K15+Forecast!K59+Forecast!K58</f>
        <v>#REF!</v>
      </c>
      <c r="M15" s="12" t="e">
        <f ca="1">L15+Forecast!L59+Forecast!L58</f>
        <v>#REF!</v>
      </c>
      <c r="N15" s="12" t="e">
        <f ca="1">M15+Forecast!M59+Forecast!M58</f>
        <v>#REF!</v>
      </c>
      <c r="O15" s="12" t="e">
        <f ca="1">N15+Forecast!N59+Forecast!N58</f>
        <v>#REF!</v>
      </c>
      <c r="P15" s="12" t="e">
        <f ca="1">O15+Forecast!P59+Forecast!P58</f>
        <v>#REF!</v>
      </c>
      <c r="Q15" s="12" t="e">
        <f ca="1">P15+Forecast!Q59+Forecast!Q58</f>
        <v>#REF!</v>
      </c>
      <c r="R15" s="12" t="e">
        <f ca="1">Q15+Forecast!R59+Forecast!R58</f>
        <v>#REF!</v>
      </c>
      <c r="S15" s="12" t="e">
        <f ca="1">R15+Forecast!S59+Forecast!S58</f>
        <v>#REF!</v>
      </c>
      <c r="T15" s="12" t="e">
        <f ca="1">S15+Forecast!T59+Forecast!T58</f>
        <v>#REF!</v>
      </c>
      <c r="U15" s="12" t="e">
        <f ca="1">T15+Forecast!U59+Forecast!U58</f>
        <v>#REF!</v>
      </c>
      <c r="V15" s="12" t="e">
        <f ca="1">U15+Forecast!V59+Forecast!V58</f>
        <v>#REF!</v>
      </c>
      <c r="W15" s="12" t="e">
        <f ca="1">V15+Forecast!W59+Forecast!W58</f>
        <v>#REF!</v>
      </c>
      <c r="X15" s="12" t="e">
        <f ca="1">W15+Forecast!X59+Forecast!X58</f>
        <v>#REF!</v>
      </c>
      <c r="Y15" s="12" t="e">
        <f ca="1">X15+Forecast!Y59+Forecast!Y58</f>
        <v>#REF!</v>
      </c>
      <c r="Z15" s="12" t="e">
        <f ca="1">Y15+Forecast!Z59+Forecast!Z58</f>
        <v>#REF!</v>
      </c>
      <c r="AA15" s="12" t="e">
        <f ca="1">Z15+Forecast!AA59+Forecast!AA58</f>
        <v>#REF!</v>
      </c>
      <c r="AB15" s="12" t="e">
        <f ca="1">AA15+Forecast!AC59+Forecast!AC58</f>
        <v>#REF!</v>
      </c>
      <c r="AC15" s="12" t="e">
        <f ca="1">AB15+Forecast!AD59+Forecast!AD58</f>
        <v>#REF!</v>
      </c>
      <c r="AD15" s="12" t="e">
        <f ca="1">AC15+Forecast!AE59+Forecast!AE58</f>
        <v>#REF!</v>
      </c>
      <c r="AE15" s="12" t="e">
        <f ca="1">AD15+Forecast!AF59+Forecast!AF58</f>
        <v>#REF!</v>
      </c>
      <c r="AF15" s="12" t="e">
        <f ca="1">AE15+Forecast!AG59+Forecast!AG58</f>
        <v>#REF!</v>
      </c>
      <c r="AG15" s="12" t="e">
        <f ca="1">AF15+Forecast!AH59+Forecast!AH58</f>
        <v>#REF!</v>
      </c>
      <c r="AH15" s="12" t="e">
        <f ca="1">AG15+Forecast!AI59+Forecast!AI58</f>
        <v>#REF!</v>
      </c>
      <c r="AI15" s="12" t="e">
        <f ca="1">AH15+Forecast!AJ59+Forecast!AJ58</f>
        <v>#REF!</v>
      </c>
      <c r="AJ15" s="12" t="e">
        <f ca="1">AI15+Forecast!AK59+Forecast!AK58</f>
        <v>#REF!</v>
      </c>
      <c r="AK15" s="12" t="e">
        <f ca="1">AJ15+Forecast!AL59+Forecast!AL58</f>
        <v>#REF!</v>
      </c>
      <c r="AL15" s="12" t="e">
        <f ca="1">AK15+Forecast!AM59+Forecast!AM58</f>
        <v>#REF!</v>
      </c>
      <c r="AM15" s="12" t="e">
        <f ca="1">AL15+Forecast!AN59+Forecast!AN58</f>
        <v>#REF!</v>
      </c>
    </row>
    <row r="16" spans="2:39" ht="15" customHeight="1" x14ac:dyDescent="0.2">
      <c r="B16" s="8" t="s">
        <v>16</v>
      </c>
      <c r="C16" s="10"/>
      <c r="D16" s="10"/>
      <c r="E16" s="10"/>
      <c r="F16" s="10"/>
      <c r="G16" s="10"/>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row>
    <row r="17" spans="1:39" ht="15" customHeight="1" x14ac:dyDescent="0.2">
      <c r="B17" s="9" t="s">
        <v>61</v>
      </c>
      <c r="C17" s="10">
        <f>-Assumptions!$B$24</f>
        <v>0</v>
      </c>
      <c r="D17" s="82" t="e">
        <f ca="1">((((Forecast!#REF!*Assumptions!$B$37)+(SUMIF(Forecast!$A$14:$AO$21,"G",Forecast!C$14:C$21)*Assumptions!$B$38))*(1+Assumptions!$B$35))/D22*Assumptions!$B$15)+(((Forecast!#REF!*(1-Assumptions!$B$37))+(SUMIF(Forecast!$A$14:$AO$21,"G",Forecast!C$14:C$21)*(1-Assumptions!$B$38))+(Forecast!C21-SUMIF(Forecast!$A$14:$AO$21,"G",Forecast!C$14:C$21)))/D22*Assumptions!$B$15)</f>
        <v>#REF!</v>
      </c>
      <c r="E17" s="10" t="e">
        <f ca="1">((((Forecast!#REF!*Assumptions!$B$37)+(SUMIF(Forecast!$A$14:$AO$21,"G",Forecast!D$14:D$21)*Assumptions!$B$38))*(1+Assumptions!$B$35))/E22*Assumptions!$B$15)+(((Forecast!#REF!*(1-Assumptions!$B$37))+(SUMIF(Forecast!$A$14:$AO$21,"G",Forecast!D$14:D$21)*(1-Assumptions!$B$38))+(Forecast!D21-SUMIF(Forecast!$A$14:$AO$21,"G",Forecast!D$14:D$21)))/E22*Assumptions!$B$15)</f>
        <v>#REF!</v>
      </c>
      <c r="F17" s="10" t="e">
        <f ca="1">((((Forecast!#REF!*Assumptions!$B$37)+(SUMIF(Forecast!$A$14:$AO$21,"G",Forecast!E$14:E$21)*Assumptions!$B$38))*(1+Assumptions!$B$35))/F22*Assumptions!$B$15)+(((Forecast!#REF!*(1-Assumptions!$B$37))+(SUMIF(Forecast!$A$14:$AO$21,"G",Forecast!E$14:E$21)*(1-Assumptions!$B$38))+(Forecast!E21-SUMIF(Forecast!$A$14:$AO$21,"G",Forecast!E$14:E$21)))/F22*Assumptions!$B$15)</f>
        <v>#REF!</v>
      </c>
      <c r="G17" s="10" t="e">
        <f ca="1">((((Forecast!#REF!*Assumptions!$B$37)+(SUMIF(Forecast!$A$14:$AO$21,"G",Forecast!F$14:F$21)*Assumptions!$B$38))*(1+Assumptions!$B$35))/G22*Assumptions!$B$15)+(((Forecast!#REF!*(1-Assumptions!$B$37))+(SUMIF(Forecast!$A$14:$AO$21,"G",Forecast!F$14:F$21)*(1-Assumptions!$B$38))+(Forecast!F21-SUMIF(Forecast!$A$14:$AO$21,"G",Forecast!F$14:F$21)))/G22*Assumptions!$B$15)</f>
        <v>#REF!</v>
      </c>
      <c r="H17" s="10" t="e">
        <f ca="1">((((Forecast!#REF!*Assumptions!$B$37)+(SUMIF(Forecast!$A$14:$AO$21,"G",Forecast!G$14:G$21)*Assumptions!$B$38))*(1+Assumptions!$B$35))/H22*Assumptions!$B$15)+(((Forecast!#REF!*(1-Assumptions!$B$37))+(SUMIF(Forecast!$A$14:$AO$21,"G",Forecast!G$14:G$21)*(1-Assumptions!$B$38))+(Forecast!G21-SUMIF(Forecast!$A$14:$AO$21,"G",Forecast!G$14:G$21)))/H22*Assumptions!$B$15)</f>
        <v>#REF!</v>
      </c>
      <c r="I17" s="10" t="e">
        <f ca="1">((((Forecast!#REF!*Assumptions!$B$37)+(SUMIF(Forecast!$A$14:$AO$21,"G",Forecast!H$14:H$21)*Assumptions!$B$38))*(1+Assumptions!$B$35))/I22*Assumptions!$B$15)+(((Forecast!#REF!*(1-Assumptions!$B$37))+(SUMIF(Forecast!$A$14:$AO$21,"G",Forecast!H$14:H$21)*(1-Assumptions!$B$38))+(Forecast!H21-SUMIF(Forecast!$A$14:$AO$21,"G",Forecast!H$14:H$21)))/I22*Assumptions!$B$15)</f>
        <v>#REF!</v>
      </c>
      <c r="J17" s="10" t="e">
        <f ca="1">((((Forecast!#REF!*Assumptions!$B$37)+(SUMIF(Forecast!$A$14:$AO$21,"G",Forecast!I$14:I$21)*Assumptions!$B$38))*(1+Assumptions!$B$35))/J22*Assumptions!$B$15)+(((Forecast!#REF!*(1-Assumptions!$B$37))+(SUMIF(Forecast!$A$14:$AO$21,"G",Forecast!I$14:I$21)*(1-Assumptions!$B$38))+(Forecast!I21-SUMIF(Forecast!$A$14:$AO$21,"G",Forecast!I$14:I$21)))/J22*Assumptions!$B$15)</f>
        <v>#REF!</v>
      </c>
      <c r="K17" s="10" t="e">
        <f ca="1">((((Forecast!#REF!*Assumptions!$B$37)+(SUMIF(Forecast!$A$14:$AO$21,"G",Forecast!J$14:J$21)*Assumptions!$B$38))*(1+Assumptions!$B$35))/K22*Assumptions!$B$15)+(((Forecast!#REF!*(1-Assumptions!$B$37))+(SUMIF(Forecast!$A$14:$AO$21,"G",Forecast!J$14:J$21)*(1-Assumptions!$B$38))+(Forecast!J21-SUMIF(Forecast!$A$14:$AO$21,"G",Forecast!J$14:J$21)))/K22*Assumptions!$B$15)</f>
        <v>#REF!</v>
      </c>
      <c r="L17" s="10" t="e">
        <f ca="1">((((Forecast!#REF!*Assumptions!$B$37)+(SUMIF(Forecast!$A$14:$AO$21,"G",Forecast!K$14:K$21)*Assumptions!$B$38))*(1+Assumptions!$B$35))/L22*Assumptions!$B$15)+(((Forecast!#REF!*(1-Assumptions!$B$37))+(SUMIF(Forecast!$A$14:$AO$21,"G",Forecast!K$14:K$21)*(1-Assumptions!$B$38))+(Forecast!K21-SUMIF(Forecast!$A$14:$AO$21,"G",Forecast!K$14:K$21)))/L22*Assumptions!$B$15)</f>
        <v>#REF!</v>
      </c>
      <c r="M17" s="10" t="e">
        <f ca="1">((((Forecast!#REF!*Assumptions!$B$37)+(SUMIF(Forecast!$A$14:$AO$21,"G",Forecast!L$14:L$21)*Assumptions!$B$38))*(1+Assumptions!$B$35))/M22*Assumptions!$B$15)+(((Forecast!#REF!*(1-Assumptions!$B$37))+(SUMIF(Forecast!$A$14:$AO$21,"G",Forecast!L$14:L$21)*(1-Assumptions!$B$38))+(Forecast!L21-SUMIF(Forecast!$A$14:$AO$21,"G",Forecast!L$14:L$21)))/M22*Assumptions!$B$15)</f>
        <v>#REF!</v>
      </c>
      <c r="N17" s="10" t="e">
        <f ca="1">((((Forecast!#REF!*Assumptions!$B$37)+(SUMIF(Forecast!$A$14:$AO$21,"G",Forecast!M$14:M$21)*Assumptions!$B$38))*(1+Assumptions!$B$35))/N22*Assumptions!$B$15)+(((Forecast!#REF!*(1-Assumptions!$B$37))+(SUMIF(Forecast!$A$14:$AO$21,"G",Forecast!M$14:M$21)*(1-Assumptions!$B$38))+(Forecast!M21-SUMIF(Forecast!$A$14:$AO$21,"G",Forecast!M$14:M$21)))/N22*Assumptions!$B$15)</f>
        <v>#REF!</v>
      </c>
      <c r="O17" s="10" t="e">
        <f ca="1">((((Forecast!#REF!*Assumptions!$B$37)+(SUMIF(Forecast!$A$14:$AO$21,"G",Forecast!N$14:N$21)*Assumptions!$B$38))*(1+Assumptions!$B$35))/O22*Assumptions!$B$15)+(((Forecast!#REF!*(1-Assumptions!$B$37))+(SUMIF(Forecast!$A$14:$AO$21,"G",Forecast!N$14:N$21)*(1-Assumptions!$B$38))+(Forecast!N21-SUMIF(Forecast!$A$14:$AO$21,"G",Forecast!N$14:N$21)))/O22*Assumptions!$B$15)</f>
        <v>#REF!</v>
      </c>
      <c r="P17" s="82" t="e">
        <f ca="1">((((Forecast!#REF!*Assumptions!$B$37)+(SUMIF(Forecast!$A$14:$AO$21,"G",Forecast!P$14:P$21)*Assumptions!$B$38))*(1+Assumptions!$B$35))/P22*Assumptions!$B$15)+(((Forecast!#REF!*(1-Assumptions!$B$37))+(SUMIF(Forecast!$A$14:$AO$21,"G",Forecast!P$14:P$21)*(1-Assumptions!$B$38))+(Forecast!P21-SUMIF(Forecast!$A$14:$AO$21,"G",Forecast!P$14:P$21)))/P22*Assumptions!$B$15)</f>
        <v>#REF!</v>
      </c>
      <c r="Q17" s="10" t="e">
        <f ca="1">((((Forecast!#REF!*Assumptions!$B$37)+(SUMIF(Forecast!$A$14:$AO$21,"G",Forecast!Q$14:Q$21)*Assumptions!$B$38))*(1+Assumptions!$B$35))/Q22*Assumptions!$B$15)+(((Forecast!#REF!*(1-Assumptions!$B$37))+(SUMIF(Forecast!$A$14:$AO$21,"G",Forecast!Q$14:Q$21)*(1-Assumptions!$B$38))+(Forecast!Q21-SUMIF(Forecast!$A$14:$AO$21,"G",Forecast!Q$14:Q$21)))/Q22*Assumptions!$B$15)</f>
        <v>#REF!</v>
      </c>
      <c r="R17" s="10" t="e">
        <f ca="1">((((Forecast!#REF!*Assumptions!$B$37)+(SUMIF(Forecast!$A$14:$AO$21,"G",Forecast!R$14:R$21)*Assumptions!$B$38))*(1+Assumptions!$B$35))/R22*Assumptions!$B$15)+(((Forecast!#REF!*(1-Assumptions!$B$37))+(SUMIF(Forecast!$A$14:$AO$21,"G",Forecast!R$14:R$21)*(1-Assumptions!$B$38))+(Forecast!R21-SUMIF(Forecast!$A$14:$AO$21,"G",Forecast!R$14:R$21)))/R22*Assumptions!$B$15)</f>
        <v>#REF!</v>
      </c>
      <c r="S17" s="10" t="e">
        <f ca="1">((((Forecast!#REF!*Assumptions!$B$37)+(SUMIF(Forecast!$A$14:$AO$21,"G",Forecast!S$14:S$21)*Assumptions!$B$38))*(1+Assumptions!$B$35))/S22*Assumptions!$B$15)+(((Forecast!#REF!*(1-Assumptions!$B$37))+(SUMIF(Forecast!$A$14:$AO$21,"G",Forecast!S$14:S$21)*(1-Assumptions!$B$38))+(Forecast!S21-SUMIF(Forecast!$A$14:$AO$21,"G",Forecast!S$14:S$21)))/S22*Assumptions!$B$15)</f>
        <v>#REF!</v>
      </c>
      <c r="T17" s="10" t="e">
        <f ca="1">((((Forecast!#REF!*Assumptions!$B$37)+(SUMIF(Forecast!$A$14:$AO$21,"G",Forecast!T$14:T$21)*Assumptions!$B$38))*(1+Assumptions!$B$35))/T22*Assumptions!$B$15)+(((Forecast!#REF!*(1-Assumptions!$B$37))+(SUMIF(Forecast!$A$14:$AO$21,"G",Forecast!T$14:T$21)*(1-Assumptions!$B$38))+(Forecast!T21-SUMIF(Forecast!$A$14:$AO$21,"G",Forecast!T$14:T$21)))/T22*Assumptions!$B$15)</f>
        <v>#REF!</v>
      </c>
      <c r="U17" s="10" t="e">
        <f ca="1">((((Forecast!#REF!*Assumptions!$B$37)+(SUMIF(Forecast!$A$14:$AO$21,"G",Forecast!U$14:U$21)*Assumptions!$B$38))*(1+Assumptions!$B$35))/U22*Assumptions!$B$15)+(((Forecast!#REF!*(1-Assumptions!$B$37))+(SUMIF(Forecast!$A$14:$AO$21,"G",Forecast!U$14:U$21)*(1-Assumptions!$B$38))+(Forecast!U21-SUMIF(Forecast!$A$14:$AO$21,"G",Forecast!U$14:U$21)))/U22*Assumptions!$B$15)</f>
        <v>#REF!</v>
      </c>
      <c r="V17" s="10" t="e">
        <f ca="1">((((Forecast!#REF!*Assumptions!$B$37)+(SUMIF(Forecast!$A$14:$AO$21,"G",Forecast!V$14:V$21)*Assumptions!$B$38))*(1+Assumptions!$B$35))/V22*Assumptions!$B$15)+(((Forecast!#REF!*(1-Assumptions!$B$37))+(SUMIF(Forecast!$A$14:$AO$21,"G",Forecast!V$14:V$21)*(1-Assumptions!$B$38))+(Forecast!V21-SUMIF(Forecast!$A$14:$AO$21,"G",Forecast!V$14:V$21)))/V22*Assumptions!$B$15)</f>
        <v>#REF!</v>
      </c>
      <c r="W17" s="10" t="e">
        <f ca="1">((((Forecast!#REF!*Assumptions!$B$37)+(SUMIF(Forecast!$A$14:$AO$21,"G",Forecast!W$14:W$21)*Assumptions!$B$38))*(1+Assumptions!$B$35))/W22*Assumptions!$B$15)+(((Forecast!#REF!*(1-Assumptions!$B$37))+(SUMIF(Forecast!$A$14:$AO$21,"G",Forecast!W$14:W$21)*(1-Assumptions!$B$38))+(Forecast!W21-SUMIF(Forecast!$A$14:$AO$21,"G",Forecast!W$14:W$21)))/W22*Assumptions!$B$15)</f>
        <v>#REF!</v>
      </c>
      <c r="X17" s="10" t="e">
        <f ca="1">((((Forecast!#REF!*Assumptions!$B$37)+(SUMIF(Forecast!$A$14:$AO$21,"G",Forecast!X$14:X$21)*Assumptions!$B$38))*(1+Assumptions!$B$35))/X22*Assumptions!$B$15)+(((Forecast!#REF!*(1-Assumptions!$B$37))+(SUMIF(Forecast!$A$14:$AO$21,"G",Forecast!X$14:X$21)*(1-Assumptions!$B$38))+(Forecast!X21-SUMIF(Forecast!$A$14:$AO$21,"G",Forecast!X$14:X$21)))/X22*Assumptions!$B$15)</f>
        <v>#REF!</v>
      </c>
      <c r="Y17" s="10" t="e">
        <f ca="1">((((Forecast!#REF!*Assumptions!$B$37)+(SUMIF(Forecast!$A$14:$AO$21,"G",Forecast!Y$14:Y$21)*Assumptions!$B$38))*(1+Assumptions!$B$35))/Y22*Assumptions!$B$15)+(((Forecast!#REF!*(1-Assumptions!$B$37))+(SUMIF(Forecast!$A$14:$AO$21,"G",Forecast!Y$14:Y$21)*(1-Assumptions!$B$38))+(Forecast!Y21-SUMIF(Forecast!$A$14:$AO$21,"G",Forecast!Y$14:Y$21)))/Y22*Assumptions!$B$15)</f>
        <v>#REF!</v>
      </c>
      <c r="Z17" s="10" t="e">
        <f ca="1">((((Forecast!#REF!*Assumptions!$B$37)+(SUMIF(Forecast!$A$14:$AO$21,"G",Forecast!Z$14:Z$21)*Assumptions!$B$38))*(1+Assumptions!$B$35))/Z22*Assumptions!$B$15)+(((Forecast!#REF!*(1-Assumptions!$B$37))+(SUMIF(Forecast!$A$14:$AO$21,"G",Forecast!Z$14:Z$21)*(1-Assumptions!$B$38))+(Forecast!Z21-SUMIF(Forecast!$A$14:$AO$21,"G",Forecast!Z$14:Z$21)))/Z22*Assumptions!$B$15)</f>
        <v>#REF!</v>
      </c>
      <c r="AA17" s="10" t="e">
        <f ca="1">((((Forecast!#REF!*Assumptions!$B$37)+(SUMIF(Forecast!$A$14:$AO$21,"G",Forecast!AA$14:AA$21)*Assumptions!$B$38))*(1+Assumptions!$B$35))/AA22*Assumptions!$B$15)+(((Forecast!#REF!*(1-Assumptions!$B$37))+(SUMIF(Forecast!$A$14:$AO$21,"G",Forecast!AA$14:AA$21)*(1-Assumptions!$B$38))+(Forecast!AA21-SUMIF(Forecast!$A$14:$AO$21,"G",Forecast!AA$14:AA$21)))/AA22*Assumptions!$B$15)</f>
        <v>#REF!</v>
      </c>
      <c r="AB17" s="82" t="e">
        <f ca="1">((((Forecast!#REF!*Assumptions!$B$37)+(SUMIF(Forecast!$A$14:$AO$21,"G",Forecast!AC$14:AC$21)*Assumptions!$B$38))*(1+Assumptions!$B$35))/AB22*Assumptions!$B$15)+(((Forecast!#REF!*(1-Assumptions!$B$37))+(SUMIF(Forecast!$A$14:$AO$21,"G",Forecast!AC$14:AC$21)*(1-Assumptions!$B$38))+(Forecast!AC21-SUMIF(Forecast!$A$14:$AO$21,"G",Forecast!AC$14:AC$21)))/AB22*Assumptions!$B$15)</f>
        <v>#REF!</v>
      </c>
      <c r="AC17" s="10" t="e">
        <f ca="1">((((Forecast!#REF!*Assumptions!$B$37)+(SUMIF(Forecast!$A$14:$AO$21,"G",Forecast!AD$14:AD$21)*Assumptions!$B$38))*(1+Assumptions!$B$35))/AC22*Assumptions!$B$15)+(((Forecast!#REF!*(1-Assumptions!$B$37))+(SUMIF(Forecast!$A$14:$AO$21,"G",Forecast!AD$14:AD$21)*(1-Assumptions!$B$38))+(Forecast!AD21-SUMIF(Forecast!$A$14:$AO$21,"G",Forecast!AD$14:AD$21)))/AC22*Assumptions!$B$15)</f>
        <v>#REF!</v>
      </c>
      <c r="AD17" s="10" t="e">
        <f ca="1">((((Forecast!#REF!*Assumptions!$B$37)+(SUMIF(Forecast!$A$14:$AO$21,"G",Forecast!AE$14:AE$21)*Assumptions!$B$38))*(1+Assumptions!$B$35))/AD22*Assumptions!$B$15)+(((Forecast!#REF!*(1-Assumptions!$B$37))+(SUMIF(Forecast!$A$14:$AO$21,"G",Forecast!AE$14:AE$21)*(1-Assumptions!$B$38))+(Forecast!AE21-SUMIF(Forecast!$A$14:$AO$21,"G",Forecast!AE$14:AE$21)))/AD22*Assumptions!$B$15)</f>
        <v>#REF!</v>
      </c>
      <c r="AE17" s="10" t="e">
        <f ca="1">((((Forecast!#REF!*Assumptions!$B$37)+(SUMIF(Forecast!$A$14:$AO$21,"G",Forecast!AF$14:AF$21)*Assumptions!$B$38))*(1+Assumptions!$B$35))/AE22*Assumptions!$B$15)+(((Forecast!#REF!*(1-Assumptions!$B$37))+(SUMIF(Forecast!$A$14:$AO$21,"G",Forecast!AF$14:AF$21)*(1-Assumptions!$B$38))+(Forecast!AF21-SUMIF(Forecast!$A$14:$AO$21,"G",Forecast!AF$14:AF$21)))/AE22*Assumptions!$B$15)</f>
        <v>#REF!</v>
      </c>
      <c r="AF17" s="10" t="e">
        <f ca="1">((((Forecast!#REF!*Assumptions!$B$37)+(SUMIF(Forecast!$A$14:$AO$21,"G",Forecast!AG$14:AG$21)*Assumptions!$B$38))*(1+Assumptions!$B$35))/AF22*Assumptions!$B$15)+(((Forecast!#REF!*(1-Assumptions!$B$37))+(SUMIF(Forecast!$A$14:$AO$21,"G",Forecast!AG$14:AG$21)*(1-Assumptions!$B$38))+(Forecast!AG21-SUMIF(Forecast!$A$14:$AO$21,"G",Forecast!AG$14:AG$21)))/AF22*Assumptions!$B$15)</f>
        <v>#REF!</v>
      </c>
      <c r="AG17" s="10" t="e">
        <f ca="1">((((Forecast!#REF!*Assumptions!$B$37)+(SUMIF(Forecast!$A$14:$AO$21,"G",Forecast!AH$14:AH$21)*Assumptions!$B$38))*(1+Assumptions!$B$35))/AG22*Assumptions!$B$15)+(((Forecast!#REF!*(1-Assumptions!$B$37))+(SUMIF(Forecast!$A$14:$AO$21,"G",Forecast!AH$14:AH$21)*(1-Assumptions!$B$38))+(Forecast!AH21-SUMIF(Forecast!$A$14:$AO$21,"G",Forecast!AH$14:AH$21)))/AG22*Assumptions!$B$15)</f>
        <v>#REF!</v>
      </c>
      <c r="AH17" s="10" t="e">
        <f ca="1">((((Forecast!#REF!*Assumptions!$B$37)+(SUMIF(Forecast!$A$14:$AO$21,"G",Forecast!AI$14:AI$21)*Assumptions!$B$38))*(1+Assumptions!$B$35))/AH22*Assumptions!$B$15)+(((Forecast!#REF!*(1-Assumptions!$B$37))+(SUMIF(Forecast!$A$14:$AO$21,"G",Forecast!AI$14:AI$21)*(1-Assumptions!$B$38))+(Forecast!AI21-SUMIF(Forecast!$A$14:$AO$21,"G",Forecast!AI$14:AI$21)))/AH22*Assumptions!$B$15)</f>
        <v>#REF!</v>
      </c>
      <c r="AI17" s="10" t="e">
        <f ca="1">((((Forecast!#REF!*Assumptions!$B$37)+(SUMIF(Forecast!$A$14:$AO$21,"G",Forecast!AJ$14:AJ$21)*Assumptions!$B$38))*(1+Assumptions!$B$35))/AI22*Assumptions!$B$15)+(((Forecast!#REF!*(1-Assumptions!$B$37))+(SUMIF(Forecast!$A$14:$AO$21,"G",Forecast!AJ$14:AJ$21)*(1-Assumptions!$B$38))+(Forecast!AJ21-SUMIF(Forecast!$A$14:$AO$21,"G",Forecast!AJ$14:AJ$21)))/AI22*Assumptions!$B$15)</f>
        <v>#REF!</v>
      </c>
      <c r="AJ17" s="10" t="e">
        <f ca="1">((((Forecast!#REF!*Assumptions!$B$37)+(SUMIF(Forecast!$A$14:$AO$21,"G",Forecast!AK$14:AK$21)*Assumptions!$B$38))*(1+Assumptions!$B$35))/AJ22*Assumptions!$B$15)+(((Forecast!#REF!*(1-Assumptions!$B$37))+(SUMIF(Forecast!$A$14:$AO$21,"G",Forecast!AK$14:AK$21)*(1-Assumptions!$B$38))+(Forecast!AK21-SUMIF(Forecast!$A$14:$AO$21,"G",Forecast!AK$14:AK$21)))/AJ22*Assumptions!$B$15)</f>
        <v>#REF!</v>
      </c>
      <c r="AK17" s="10" t="e">
        <f ca="1">((((Forecast!#REF!*Assumptions!$B$37)+(SUMIF(Forecast!$A$14:$AO$21,"G",Forecast!AL$14:AL$21)*Assumptions!$B$38))*(1+Assumptions!$B$35))/AK22*Assumptions!$B$15)+(((Forecast!#REF!*(1-Assumptions!$B$37))+(SUMIF(Forecast!$A$14:$AO$21,"G",Forecast!AL$14:AL$21)*(1-Assumptions!$B$38))+(Forecast!AL21-SUMIF(Forecast!$A$14:$AO$21,"G",Forecast!AL$14:AL$21)))/AK22*Assumptions!$B$15)</f>
        <v>#REF!</v>
      </c>
      <c r="AL17" s="10" t="e">
        <f ca="1">((((Forecast!#REF!*Assumptions!$B$37)+(SUMIF(Forecast!$A$14:$AO$21,"G",Forecast!AM$14:AM$21)*Assumptions!$B$38))*(1+Assumptions!$B$35))/AL22*Assumptions!$B$15)+(((Forecast!#REF!*(1-Assumptions!$B$37))+(SUMIF(Forecast!$A$14:$AO$21,"G",Forecast!AM$14:AM$21)*(1-Assumptions!$B$38))+(Forecast!AM21-SUMIF(Forecast!$A$14:$AO$21,"G",Forecast!AM$14:AM$21)))/AL22*Assumptions!$B$15)</f>
        <v>#REF!</v>
      </c>
      <c r="AM17" s="10" t="e">
        <f ca="1">((((Forecast!#REF!*Assumptions!$B$37)+(SUMIF(Forecast!$A$14:$AO$21,"G",Forecast!AN$14:AN$21)*Assumptions!$B$38))*(1+Assumptions!$B$35))/AM22*Assumptions!$B$15)+(((Forecast!#REF!*(1-Assumptions!$B$37))+(SUMIF(Forecast!$A$14:$AO$21,"G",Forecast!AN$14:AN$21)*(1-Assumptions!$B$38))+(Forecast!AN21-SUMIF(Forecast!$A$14:$AO$21,"G",Forecast!AN$14:AN$21)))/AM22*Assumptions!$B$15)</f>
        <v>#REF!</v>
      </c>
    </row>
    <row r="18" spans="1:39" ht="15" customHeight="1" x14ac:dyDescent="0.2">
      <c r="B18" s="9" t="s">
        <v>147</v>
      </c>
      <c r="C18" s="10">
        <f>-Assumptions!$B$25</f>
        <v>0</v>
      </c>
      <c r="D18" s="10" t="e">
        <f t="shared" ref="D18:AM18" ca="1" si="4">IF(OR(MONTH(D$4)=1,MONTH(D$4)=4,MONTH(D$4)=7,MONTH(D$4)=10)=TRUE,SUM(OFFSET(D47,0,0,1,1)),IF(OR(MONTH(D$4)=2,MONTH(D$4)=5,MONTH(D$4)=8,MONTH(D$4)=11)=TRUE,SUM(OFFSET(D47,0,-1,1,2)),SUM(OFFSET(D47,0,-2,1,3))))</f>
        <v>#REF!</v>
      </c>
      <c r="E18" s="10" t="e">
        <f t="shared" ca="1" si="4"/>
        <v>#REF!</v>
      </c>
      <c r="F18" s="10" t="e">
        <f t="shared" ca="1" si="4"/>
        <v>#REF!</v>
      </c>
      <c r="G18" s="10" t="e">
        <f t="shared" ca="1" si="4"/>
        <v>#REF!</v>
      </c>
      <c r="H18" s="10" t="e">
        <f t="shared" ca="1" si="4"/>
        <v>#REF!</v>
      </c>
      <c r="I18" s="10" t="e">
        <f t="shared" ca="1" si="4"/>
        <v>#REF!</v>
      </c>
      <c r="J18" s="10" t="e">
        <f t="shared" ca="1" si="4"/>
        <v>#REF!</v>
      </c>
      <c r="K18" s="10" t="e">
        <f t="shared" ca="1" si="4"/>
        <v>#REF!</v>
      </c>
      <c r="L18" s="10" t="e">
        <f t="shared" ca="1" si="4"/>
        <v>#REF!</v>
      </c>
      <c r="M18" s="10" t="e">
        <f t="shared" ca="1" si="4"/>
        <v>#REF!</v>
      </c>
      <c r="N18" s="10" t="e">
        <f t="shared" ca="1" si="4"/>
        <v>#REF!</v>
      </c>
      <c r="O18" s="10" t="e">
        <f t="shared" ca="1" si="4"/>
        <v>#REF!</v>
      </c>
      <c r="P18" s="10" t="e">
        <f t="shared" ca="1" si="4"/>
        <v>#REF!</v>
      </c>
      <c r="Q18" s="10" t="e">
        <f t="shared" ca="1" si="4"/>
        <v>#REF!</v>
      </c>
      <c r="R18" s="10" t="e">
        <f t="shared" ca="1" si="4"/>
        <v>#REF!</v>
      </c>
      <c r="S18" s="10" t="e">
        <f t="shared" ca="1" si="4"/>
        <v>#REF!</v>
      </c>
      <c r="T18" s="10" t="e">
        <f t="shared" ca="1" si="4"/>
        <v>#REF!</v>
      </c>
      <c r="U18" s="10" t="e">
        <f t="shared" ca="1" si="4"/>
        <v>#REF!</v>
      </c>
      <c r="V18" s="10" t="e">
        <f t="shared" ca="1" si="4"/>
        <v>#REF!</v>
      </c>
      <c r="W18" s="10" t="e">
        <f t="shared" ca="1" si="4"/>
        <v>#REF!</v>
      </c>
      <c r="X18" s="10" t="e">
        <f t="shared" ca="1" si="4"/>
        <v>#REF!</v>
      </c>
      <c r="Y18" s="10" t="e">
        <f t="shared" ca="1" si="4"/>
        <v>#REF!</v>
      </c>
      <c r="Z18" s="10" t="e">
        <f t="shared" ca="1" si="4"/>
        <v>#REF!</v>
      </c>
      <c r="AA18" s="10" t="e">
        <f t="shared" ca="1" si="4"/>
        <v>#REF!</v>
      </c>
      <c r="AB18" s="10" t="e">
        <f t="shared" ca="1" si="4"/>
        <v>#REF!</v>
      </c>
      <c r="AC18" s="10" t="e">
        <f t="shared" ca="1" si="4"/>
        <v>#REF!</v>
      </c>
      <c r="AD18" s="10" t="e">
        <f t="shared" ca="1" si="4"/>
        <v>#REF!</v>
      </c>
      <c r="AE18" s="10" t="e">
        <f t="shared" ca="1" si="4"/>
        <v>#REF!</v>
      </c>
      <c r="AF18" s="10" t="e">
        <f t="shared" ca="1" si="4"/>
        <v>#REF!</v>
      </c>
      <c r="AG18" s="10" t="e">
        <f t="shared" ca="1" si="4"/>
        <v>#REF!</v>
      </c>
      <c r="AH18" s="10" t="e">
        <f t="shared" ca="1" si="4"/>
        <v>#REF!</v>
      </c>
      <c r="AI18" s="10" t="e">
        <f t="shared" ca="1" si="4"/>
        <v>#REF!</v>
      </c>
      <c r="AJ18" s="10" t="e">
        <f t="shared" ca="1" si="4"/>
        <v>#REF!</v>
      </c>
      <c r="AK18" s="10" t="e">
        <f t="shared" ca="1" si="4"/>
        <v>#REF!</v>
      </c>
      <c r="AL18" s="10" t="e">
        <f t="shared" ca="1" si="4"/>
        <v>#REF!</v>
      </c>
      <c r="AM18" s="10" t="e">
        <f t="shared" ca="1" si="4"/>
        <v>#REF!</v>
      </c>
    </row>
    <row r="19" spans="1:39" ht="15" customHeight="1" x14ac:dyDescent="0.2">
      <c r="B19" s="9" t="s">
        <v>28</v>
      </c>
      <c r="C19" s="10">
        <f>-Assumptions!$B$26</f>
        <v>0</v>
      </c>
      <c r="D19" s="10" t="e">
        <f ca="1">IF(OR(MONTH(D$4)=1,MONTH(D$4)=4,MONTH(D$4)=7,MONTH(D$4)=10)=TRUE,SUM(OFFSET(D48,0,0,1,1)),IF(OR(MONTH(D$4)=2,MONTH(D$4)=5,MONTH(D$4)=8,MONTH(D$4)=11)=TRUE,SUM(OFFSET(D48,0,-1,1,2)),SUM(OFFSET(D48,0,-2,1,3))))</f>
        <v>#REF!</v>
      </c>
      <c r="E19" s="10" t="e">
        <f t="shared" ref="E19:AM19" ca="1" si="5">IF(OR(MONTH(E$4)=1,MONTH(E$4)=4,MONTH(E$4)=7,MONTH(E$4)=10)=TRUE,SUM(OFFSET(E48,0,0,1,1)),IF(OR(MONTH(E$4)=2,MONTH(E$4)=5,MONTH(E$4)=8,MONTH(E$4)=11)=TRUE,SUM(OFFSET(E48,0,-1,1,2)),SUM(OFFSET(E48,0,-2,1,3))))</f>
        <v>#REF!</v>
      </c>
      <c r="F19" s="10" t="e">
        <f t="shared" ca="1" si="5"/>
        <v>#REF!</v>
      </c>
      <c r="G19" s="10" t="e">
        <f t="shared" ca="1" si="5"/>
        <v>#REF!</v>
      </c>
      <c r="H19" s="10" t="e">
        <f t="shared" ca="1" si="5"/>
        <v>#REF!</v>
      </c>
      <c r="I19" s="10" t="e">
        <f t="shared" ca="1" si="5"/>
        <v>#REF!</v>
      </c>
      <c r="J19" s="10" t="e">
        <f t="shared" ca="1" si="5"/>
        <v>#REF!</v>
      </c>
      <c r="K19" s="10" t="e">
        <f t="shared" ca="1" si="5"/>
        <v>#REF!</v>
      </c>
      <c r="L19" s="10" t="e">
        <f t="shared" ca="1" si="5"/>
        <v>#REF!</v>
      </c>
      <c r="M19" s="10" t="e">
        <f t="shared" ca="1" si="5"/>
        <v>#REF!</v>
      </c>
      <c r="N19" s="10" t="e">
        <f t="shared" ca="1" si="5"/>
        <v>#REF!</v>
      </c>
      <c r="O19" s="10" t="e">
        <f t="shared" ca="1" si="5"/>
        <v>#REF!</v>
      </c>
      <c r="P19" s="10" t="e">
        <f t="shared" ca="1" si="5"/>
        <v>#REF!</v>
      </c>
      <c r="Q19" s="10" t="e">
        <f t="shared" ca="1" si="5"/>
        <v>#REF!</v>
      </c>
      <c r="R19" s="10" t="e">
        <f t="shared" ca="1" si="5"/>
        <v>#REF!</v>
      </c>
      <c r="S19" s="10" t="e">
        <f t="shared" ca="1" si="5"/>
        <v>#REF!</v>
      </c>
      <c r="T19" s="10" t="e">
        <f t="shared" ca="1" si="5"/>
        <v>#REF!</v>
      </c>
      <c r="U19" s="10" t="e">
        <f t="shared" ca="1" si="5"/>
        <v>#REF!</v>
      </c>
      <c r="V19" s="10" t="e">
        <f t="shared" ca="1" si="5"/>
        <v>#REF!</v>
      </c>
      <c r="W19" s="10" t="e">
        <f t="shared" ca="1" si="5"/>
        <v>#REF!</v>
      </c>
      <c r="X19" s="10" t="e">
        <f t="shared" ca="1" si="5"/>
        <v>#REF!</v>
      </c>
      <c r="Y19" s="10" t="e">
        <f t="shared" ca="1" si="5"/>
        <v>#REF!</v>
      </c>
      <c r="Z19" s="10" t="e">
        <f t="shared" ca="1" si="5"/>
        <v>#REF!</v>
      </c>
      <c r="AA19" s="10" t="e">
        <f t="shared" ca="1" si="5"/>
        <v>#REF!</v>
      </c>
      <c r="AB19" s="10" t="e">
        <f t="shared" ca="1" si="5"/>
        <v>#REF!</v>
      </c>
      <c r="AC19" s="10" t="e">
        <f t="shared" ca="1" si="5"/>
        <v>#REF!</v>
      </c>
      <c r="AD19" s="10" t="e">
        <f t="shared" ca="1" si="5"/>
        <v>#REF!</v>
      </c>
      <c r="AE19" s="10" t="e">
        <f t="shared" ca="1" si="5"/>
        <v>#REF!</v>
      </c>
      <c r="AF19" s="10" t="e">
        <f t="shared" ca="1" si="5"/>
        <v>#REF!</v>
      </c>
      <c r="AG19" s="10" t="e">
        <f t="shared" ca="1" si="5"/>
        <v>#REF!</v>
      </c>
      <c r="AH19" s="10" t="e">
        <f t="shared" ca="1" si="5"/>
        <v>#REF!</v>
      </c>
      <c r="AI19" s="10" t="e">
        <f t="shared" ca="1" si="5"/>
        <v>#REF!</v>
      </c>
      <c r="AJ19" s="10" t="e">
        <f t="shared" ca="1" si="5"/>
        <v>#REF!</v>
      </c>
      <c r="AK19" s="10" t="e">
        <f t="shared" ca="1" si="5"/>
        <v>#REF!</v>
      </c>
      <c r="AL19" s="10" t="e">
        <f t="shared" ca="1" si="5"/>
        <v>#REF!</v>
      </c>
      <c r="AM19" s="10" t="e">
        <f t="shared" ca="1" si="5"/>
        <v>#REF!</v>
      </c>
    </row>
    <row r="20" spans="1:39" s="37" customFormat="1" ht="15" customHeight="1" thickBot="1" x14ac:dyDescent="0.25">
      <c r="C20" s="53">
        <f t="shared" ref="C20:AM20" si="6">SUM(C13:C19)</f>
        <v>0</v>
      </c>
      <c r="D20" s="53" t="e">
        <f t="shared" ca="1" si="6"/>
        <v>#REF!</v>
      </c>
      <c r="E20" s="53" t="e">
        <f t="shared" ca="1" si="6"/>
        <v>#REF!</v>
      </c>
      <c r="F20" s="53" t="e">
        <f t="shared" ca="1" si="6"/>
        <v>#REF!</v>
      </c>
      <c r="G20" s="53" t="e">
        <f t="shared" ca="1" si="6"/>
        <v>#REF!</v>
      </c>
      <c r="H20" s="53" t="e">
        <f t="shared" ca="1" si="6"/>
        <v>#REF!</v>
      </c>
      <c r="I20" s="53" t="e">
        <f t="shared" ca="1" si="6"/>
        <v>#REF!</v>
      </c>
      <c r="J20" s="53" t="e">
        <f t="shared" ca="1" si="6"/>
        <v>#REF!</v>
      </c>
      <c r="K20" s="53" t="e">
        <f t="shared" ca="1" si="6"/>
        <v>#REF!</v>
      </c>
      <c r="L20" s="53" t="e">
        <f t="shared" ca="1" si="6"/>
        <v>#REF!</v>
      </c>
      <c r="M20" s="53" t="e">
        <f t="shared" ca="1" si="6"/>
        <v>#REF!</v>
      </c>
      <c r="N20" s="53" t="e">
        <f t="shared" ca="1" si="6"/>
        <v>#REF!</v>
      </c>
      <c r="O20" s="53" t="e">
        <f t="shared" ca="1" si="6"/>
        <v>#REF!</v>
      </c>
      <c r="P20" s="53" t="e">
        <f t="shared" ca="1" si="6"/>
        <v>#REF!</v>
      </c>
      <c r="Q20" s="53" t="e">
        <f t="shared" ca="1" si="6"/>
        <v>#REF!</v>
      </c>
      <c r="R20" s="53" t="e">
        <f t="shared" ca="1" si="6"/>
        <v>#REF!</v>
      </c>
      <c r="S20" s="53" t="e">
        <f t="shared" ca="1" si="6"/>
        <v>#REF!</v>
      </c>
      <c r="T20" s="53" t="e">
        <f t="shared" ca="1" si="6"/>
        <v>#REF!</v>
      </c>
      <c r="U20" s="53" t="e">
        <f t="shared" ca="1" si="6"/>
        <v>#REF!</v>
      </c>
      <c r="V20" s="53" t="e">
        <f t="shared" ca="1" si="6"/>
        <v>#REF!</v>
      </c>
      <c r="W20" s="53" t="e">
        <f t="shared" ca="1" si="6"/>
        <v>#REF!</v>
      </c>
      <c r="X20" s="53" t="e">
        <f t="shared" ca="1" si="6"/>
        <v>#REF!</v>
      </c>
      <c r="Y20" s="53" t="e">
        <f t="shared" ca="1" si="6"/>
        <v>#REF!</v>
      </c>
      <c r="Z20" s="53" t="e">
        <f t="shared" ca="1" si="6"/>
        <v>#REF!</v>
      </c>
      <c r="AA20" s="53" t="e">
        <f t="shared" ca="1" si="6"/>
        <v>#REF!</v>
      </c>
      <c r="AB20" s="53" t="e">
        <f t="shared" ca="1" si="6"/>
        <v>#REF!</v>
      </c>
      <c r="AC20" s="53" t="e">
        <f t="shared" ca="1" si="6"/>
        <v>#REF!</v>
      </c>
      <c r="AD20" s="53" t="e">
        <f t="shared" ca="1" si="6"/>
        <v>#REF!</v>
      </c>
      <c r="AE20" s="53" t="e">
        <f t="shared" ca="1" si="6"/>
        <v>#REF!</v>
      </c>
      <c r="AF20" s="53" t="e">
        <f t="shared" ca="1" si="6"/>
        <v>#REF!</v>
      </c>
      <c r="AG20" s="53" t="e">
        <f t="shared" ca="1" si="6"/>
        <v>#REF!</v>
      </c>
      <c r="AH20" s="53" t="e">
        <f t="shared" ca="1" si="6"/>
        <v>#REF!</v>
      </c>
      <c r="AI20" s="53" t="e">
        <f t="shared" ca="1" si="6"/>
        <v>#REF!</v>
      </c>
      <c r="AJ20" s="53" t="e">
        <f t="shared" ca="1" si="6"/>
        <v>#REF!</v>
      </c>
      <c r="AK20" s="53" t="e">
        <f t="shared" ca="1" si="6"/>
        <v>#REF!</v>
      </c>
      <c r="AL20" s="53" t="e">
        <f t="shared" ca="1" si="6"/>
        <v>#REF!</v>
      </c>
      <c r="AM20" s="53" t="e">
        <f t="shared" ca="1" si="6"/>
        <v>#REF!</v>
      </c>
    </row>
    <row r="21" spans="1:39" s="17" customFormat="1" ht="15" customHeight="1" thickTop="1" x14ac:dyDescent="0.2">
      <c r="C21" s="70"/>
      <c r="D21" s="70"/>
      <c r="E21" s="70"/>
      <c r="F21" s="70"/>
    </row>
    <row r="22" spans="1:39" s="8" customFormat="1" ht="15" customHeight="1" x14ac:dyDescent="0.2">
      <c r="B22" s="8" t="s">
        <v>26</v>
      </c>
      <c r="C22" s="14">
        <f t="shared" ref="C22:AM22" ca="1" si="7">C4-DATE(YEAR(C4),MONTH(C4),1)+1</f>
        <v>30</v>
      </c>
      <c r="D22" s="14">
        <f t="shared" ca="1" si="7"/>
        <v>31</v>
      </c>
      <c r="E22" s="14">
        <f t="shared" ca="1" si="7"/>
        <v>31</v>
      </c>
      <c r="F22" s="14">
        <f t="shared" ca="1" si="7"/>
        <v>30</v>
      </c>
      <c r="G22" s="14">
        <f t="shared" ca="1" si="7"/>
        <v>31</v>
      </c>
      <c r="H22" s="14">
        <f t="shared" ca="1" si="7"/>
        <v>30</v>
      </c>
      <c r="I22" s="14">
        <f t="shared" ca="1" si="7"/>
        <v>31</v>
      </c>
      <c r="J22" s="14">
        <f t="shared" ca="1" si="7"/>
        <v>31</v>
      </c>
      <c r="K22" s="14">
        <f t="shared" ca="1" si="7"/>
        <v>28</v>
      </c>
      <c r="L22" s="14">
        <f t="shared" ca="1" si="7"/>
        <v>31</v>
      </c>
      <c r="M22" s="14">
        <f t="shared" ca="1" si="7"/>
        <v>30</v>
      </c>
      <c r="N22" s="14">
        <f t="shared" ca="1" si="7"/>
        <v>31</v>
      </c>
      <c r="O22" s="14">
        <f t="shared" ca="1" si="7"/>
        <v>30</v>
      </c>
      <c r="P22" s="14">
        <f t="shared" ca="1" si="7"/>
        <v>31</v>
      </c>
      <c r="Q22" s="14">
        <f t="shared" ca="1" si="7"/>
        <v>31</v>
      </c>
      <c r="R22" s="14">
        <f t="shared" ca="1" si="7"/>
        <v>30</v>
      </c>
      <c r="S22" s="14">
        <f t="shared" ca="1" si="7"/>
        <v>31</v>
      </c>
      <c r="T22" s="14">
        <f t="shared" ca="1" si="7"/>
        <v>30</v>
      </c>
      <c r="U22" s="14">
        <f t="shared" ca="1" si="7"/>
        <v>31</v>
      </c>
      <c r="V22" s="14">
        <f t="shared" ca="1" si="7"/>
        <v>31</v>
      </c>
      <c r="W22" s="14">
        <f t="shared" ca="1" si="7"/>
        <v>28</v>
      </c>
      <c r="X22" s="14">
        <f t="shared" ca="1" si="7"/>
        <v>31</v>
      </c>
      <c r="Y22" s="14">
        <f t="shared" ca="1" si="7"/>
        <v>30</v>
      </c>
      <c r="Z22" s="14">
        <f t="shared" ca="1" si="7"/>
        <v>31</v>
      </c>
      <c r="AA22" s="14">
        <f t="shared" ca="1" si="7"/>
        <v>30</v>
      </c>
      <c r="AB22" s="14">
        <f t="shared" ca="1" si="7"/>
        <v>31</v>
      </c>
      <c r="AC22" s="14">
        <f t="shared" ca="1" si="7"/>
        <v>31</v>
      </c>
      <c r="AD22" s="14">
        <f t="shared" ca="1" si="7"/>
        <v>30</v>
      </c>
      <c r="AE22" s="14">
        <f t="shared" ca="1" si="7"/>
        <v>31</v>
      </c>
      <c r="AF22" s="14">
        <f t="shared" ca="1" si="7"/>
        <v>30</v>
      </c>
      <c r="AG22" s="14">
        <f t="shared" ca="1" si="7"/>
        <v>31</v>
      </c>
      <c r="AH22" s="14">
        <f t="shared" ca="1" si="7"/>
        <v>31</v>
      </c>
      <c r="AI22" s="14">
        <f t="shared" ca="1" si="7"/>
        <v>29</v>
      </c>
      <c r="AJ22" s="14">
        <f t="shared" ca="1" si="7"/>
        <v>31</v>
      </c>
      <c r="AK22" s="14">
        <f t="shared" ca="1" si="7"/>
        <v>30</v>
      </c>
      <c r="AL22" s="14">
        <f t="shared" ca="1" si="7"/>
        <v>31</v>
      </c>
      <c r="AM22" s="14">
        <f t="shared" ca="1" si="7"/>
        <v>30</v>
      </c>
    </row>
    <row r="23" spans="1:39" s="8" customFormat="1" ht="15" customHeight="1" x14ac:dyDescent="0.2">
      <c r="C23" s="14"/>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row>
    <row r="24" spans="1:39" s="8" customFormat="1" ht="15.75" x14ac:dyDescent="0.25">
      <c r="B24" s="5" t="str">
        <f>Assumptions!$B$4</f>
        <v>TALK Toastmasters Manurewa</v>
      </c>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row>
    <row r="25" spans="1:39" s="8" customFormat="1" ht="15" customHeight="1" x14ac:dyDescent="0.2">
      <c r="B25" s="8" t="s">
        <v>80</v>
      </c>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row>
    <row r="27" spans="1:39" s="68" customFormat="1" ht="18" customHeight="1" x14ac:dyDescent="0.2">
      <c r="B27" s="67"/>
      <c r="C27" s="46">
        <f ca="1">IF(ISBLANK(Assumptions!$B$5)=TRUE,DATE(YEAR(TODAY()),MONTH(TODAY()),0),DATE(YEAR(Assumptions!$B$5),MONTH(Assumptions!$B$5),0))</f>
        <v>45838</v>
      </c>
      <c r="D27" s="46">
        <f ca="1">IF(ISBLANK(Assumptions!$B$5)=TRUE,DATE(YEAR(TODAY()),MONTH(TODAY())+1,0),DATE(YEAR(Assumptions!$B$5),MONTH(Assumptions!$B$5)+1,0))</f>
        <v>45869</v>
      </c>
      <c r="E27" s="46">
        <f t="shared" ref="E27:AM27" ca="1" si="8">DATE(YEAR(D27),MONTH(D27)+2,0)</f>
        <v>45900</v>
      </c>
      <c r="F27" s="46">
        <f t="shared" ca="1" si="8"/>
        <v>45930</v>
      </c>
      <c r="G27" s="46">
        <f t="shared" ca="1" si="8"/>
        <v>45961</v>
      </c>
      <c r="H27" s="46">
        <f t="shared" ca="1" si="8"/>
        <v>45991</v>
      </c>
      <c r="I27" s="46">
        <f t="shared" ca="1" si="8"/>
        <v>46022</v>
      </c>
      <c r="J27" s="46">
        <f t="shared" ca="1" si="8"/>
        <v>46053</v>
      </c>
      <c r="K27" s="46">
        <f t="shared" ca="1" si="8"/>
        <v>46081</v>
      </c>
      <c r="L27" s="46">
        <f t="shared" ca="1" si="8"/>
        <v>46112</v>
      </c>
      <c r="M27" s="46">
        <f t="shared" ca="1" si="8"/>
        <v>46142</v>
      </c>
      <c r="N27" s="46">
        <f t="shared" ca="1" si="8"/>
        <v>46173</v>
      </c>
      <c r="O27" s="46">
        <f t="shared" ca="1" si="8"/>
        <v>46203</v>
      </c>
      <c r="P27" s="46">
        <f t="shared" ca="1" si="8"/>
        <v>46234</v>
      </c>
      <c r="Q27" s="46">
        <f t="shared" ca="1" si="8"/>
        <v>46265</v>
      </c>
      <c r="R27" s="46">
        <f t="shared" ca="1" si="8"/>
        <v>46295</v>
      </c>
      <c r="S27" s="46">
        <f t="shared" ca="1" si="8"/>
        <v>46326</v>
      </c>
      <c r="T27" s="46">
        <f t="shared" ca="1" si="8"/>
        <v>46356</v>
      </c>
      <c r="U27" s="46">
        <f t="shared" ca="1" si="8"/>
        <v>46387</v>
      </c>
      <c r="V27" s="46">
        <f t="shared" ca="1" si="8"/>
        <v>46418</v>
      </c>
      <c r="W27" s="46">
        <f t="shared" ca="1" si="8"/>
        <v>46446</v>
      </c>
      <c r="X27" s="46">
        <f t="shared" ca="1" si="8"/>
        <v>46477</v>
      </c>
      <c r="Y27" s="46">
        <f t="shared" ca="1" si="8"/>
        <v>46507</v>
      </c>
      <c r="Z27" s="46">
        <f t="shared" ca="1" si="8"/>
        <v>46538</v>
      </c>
      <c r="AA27" s="46">
        <f t="shared" ca="1" si="8"/>
        <v>46568</v>
      </c>
      <c r="AB27" s="46">
        <f t="shared" ca="1" si="8"/>
        <v>46599</v>
      </c>
      <c r="AC27" s="46">
        <f t="shared" ca="1" si="8"/>
        <v>46630</v>
      </c>
      <c r="AD27" s="46">
        <f t="shared" ca="1" si="8"/>
        <v>46660</v>
      </c>
      <c r="AE27" s="46">
        <f t="shared" ca="1" si="8"/>
        <v>46691</v>
      </c>
      <c r="AF27" s="46">
        <f t="shared" ca="1" si="8"/>
        <v>46721</v>
      </c>
      <c r="AG27" s="46">
        <f t="shared" ca="1" si="8"/>
        <v>46752</v>
      </c>
      <c r="AH27" s="46">
        <f t="shared" ca="1" si="8"/>
        <v>46783</v>
      </c>
      <c r="AI27" s="46">
        <f t="shared" ca="1" si="8"/>
        <v>46812</v>
      </c>
      <c r="AJ27" s="46">
        <f t="shared" ca="1" si="8"/>
        <v>46843</v>
      </c>
      <c r="AK27" s="46">
        <f t="shared" ca="1" si="8"/>
        <v>46873</v>
      </c>
      <c r="AL27" s="46">
        <f t="shared" ca="1" si="8"/>
        <v>46904</v>
      </c>
      <c r="AM27" s="46">
        <f t="shared" ca="1" si="8"/>
        <v>46934</v>
      </c>
    </row>
    <row r="28" spans="1:39" s="37" customFormat="1" ht="15" customHeight="1" x14ac:dyDescent="0.2">
      <c r="B28" s="37" t="s">
        <v>11</v>
      </c>
      <c r="C28" s="50"/>
      <c r="D28" s="49"/>
      <c r="E28" s="50"/>
      <c r="F28" s="50"/>
      <c r="G28" s="50"/>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row>
    <row r="29" spans="1:39" ht="15" customHeight="1" x14ac:dyDescent="0.2">
      <c r="B29" s="9" t="s">
        <v>33</v>
      </c>
      <c r="C29" s="16">
        <f>Assumptions!$B$17</f>
        <v>0</v>
      </c>
      <c r="D29" s="20">
        <f>C29-Actual!C52-Actual!C22</f>
        <v>0</v>
      </c>
      <c r="E29" s="20">
        <f>D29-Actual!D52-Actual!D22</f>
        <v>0</v>
      </c>
      <c r="F29" s="20">
        <f>E29-Actual!E52-Actual!E22</f>
        <v>0</v>
      </c>
      <c r="G29" s="20">
        <f>F29-Actual!F52-Actual!F22</f>
        <v>0</v>
      </c>
      <c r="H29" s="20">
        <f>G29-Actual!G52-Actual!G22</f>
        <v>10200</v>
      </c>
      <c r="I29" s="20">
        <f>H29-Actual!H52-Actual!H22</f>
        <v>10200</v>
      </c>
      <c r="J29" s="20">
        <f>I29-Actual!I52-Actual!I22</f>
        <v>10200</v>
      </c>
      <c r="K29" s="20">
        <f>J29-Actual!J52-Actual!J22</f>
        <v>13400</v>
      </c>
      <c r="L29" s="20">
        <f>K29-Actual!K52-Actual!K22</f>
        <v>13400</v>
      </c>
      <c r="M29" s="20">
        <f>L29-Actual!L52-Actual!L22</f>
        <v>13400</v>
      </c>
      <c r="N29" s="20">
        <f>M29-Actual!M52-Actual!M22</f>
        <v>13400</v>
      </c>
      <c r="O29" s="20">
        <f>N29-Actual!N52-Actual!N22</f>
        <v>13400</v>
      </c>
      <c r="P29" s="10">
        <f>O29-Actual!P52-Actual!P22</f>
        <v>17987.5</v>
      </c>
      <c r="Q29" s="10">
        <f>P29-Actual!Q52-Actual!Q22</f>
        <v>16275</v>
      </c>
      <c r="R29" s="10">
        <f>Q29-Actual!R52-Actual!R22</f>
        <v>14562.5</v>
      </c>
      <c r="S29" s="10">
        <f>R29-Actual!S52-Actual!S22</f>
        <v>12850</v>
      </c>
      <c r="T29" s="10">
        <f>S29-Actual!T52-Actual!T22</f>
        <v>11137.5</v>
      </c>
      <c r="U29" s="10">
        <f>T29-Actual!U52-Actual!U22</f>
        <v>9425</v>
      </c>
      <c r="V29" s="10">
        <f>U29-Actual!V52-Actual!V22</f>
        <v>7712.5</v>
      </c>
      <c r="W29" s="10">
        <f>V29-Actual!W52-Actual!W22</f>
        <v>8335.5</v>
      </c>
      <c r="X29" s="10">
        <f>W29-Actual!X52-Actual!X22</f>
        <v>6560.5</v>
      </c>
      <c r="Y29" s="10">
        <f>X29-Actual!Y52-Actual!Y22</f>
        <v>4785.5</v>
      </c>
      <c r="Z29" s="10">
        <f>Y29-Actual!Z52-Actual!Z22</f>
        <v>3010.5</v>
      </c>
      <c r="AA29" s="10">
        <f>Z29-Actual!AA52-Actual!AA22</f>
        <v>1235.5</v>
      </c>
      <c r="AB29" s="10">
        <f>AA29-Actual!AC52-Actual!AC22</f>
        <v>-189.5</v>
      </c>
      <c r="AC29" s="10">
        <f>AB29-Actual!AD52-Actual!AD22</f>
        <v>6330.5</v>
      </c>
      <c r="AD29" s="10">
        <f>AC29-Actual!AE52-Actual!AE22</f>
        <v>4730.5</v>
      </c>
      <c r="AE29" s="10">
        <f>AD29-Actual!AF52-Actual!AF22</f>
        <v>3130.5</v>
      </c>
      <c r="AF29" s="10">
        <f>AE29-Actual!AG52-Actual!AG22</f>
        <v>1530.5</v>
      </c>
      <c r="AG29" s="10">
        <f>AF29-Actual!AH52-Actual!AH22</f>
        <v>-69.5</v>
      </c>
      <c r="AH29" s="10">
        <f>AG29-Actual!AI52-Actual!AI22</f>
        <v>-1669.5</v>
      </c>
      <c r="AI29" s="10">
        <f>AH29-Actual!AJ52-Actual!AJ22</f>
        <v>-3269.5</v>
      </c>
      <c r="AJ29" s="10">
        <f>AI29-Actual!AK52-Actual!AK22</f>
        <v>-4869.5</v>
      </c>
      <c r="AK29" s="10">
        <f>AJ29-Actual!AL52-Actual!AL22</f>
        <v>2773</v>
      </c>
      <c r="AL29" s="10">
        <f>AK29-Actual!AM52-Actual!AM22</f>
        <v>985.5</v>
      </c>
      <c r="AM29" s="10">
        <f>AL29-Actual!AN52-Actual!AN22</f>
        <v>-802</v>
      </c>
    </row>
    <row r="30" spans="1:39" ht="15" customHeight="1" x14ac:dyDescent="0.2">
      <c r="B30" s="8" t="s">
        <v>12</v>
      </c>
      <c r="C30" s="71"/>
      <c r="D30" s="20"/>
      <c r="E30" s="10"/>
      <c r="F30" s="10"/>
      <c r="G30" s="10"/>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row>
    <row r="31" spans="1:39" ht="15" customHeight="1" x14ac:dyDescent="0.2">
      <c r="A31" s="15"/>
      <c r="B31" s="9" t="s">
        <v>5</v>
      </c>
      <c r="C31" s="16">
        <f>Assumptions!$B$18</f>
        <v>0</v>
      </c>
      <c r="D31" s="20">
        <v>19500</v>
      </c>
      <c r="E31" s="10">
        <v>22500</v>
      </c>
      <c r="F31" s="10">
        <v>20625</v>
      </c>
      <c r="G31" s="10">
        <v>21400</v>
      </c>
      <c r="H31" s="10">
        <v>19375</v>
      </c>
      <c r="I31" s="10">
        <v>20625</v>
      </c>
      <c r="J31" s="10">
        <v>22250</v>
      </c>
      <c r="K31" s="10">
        <v>19000</v>
      </c>
      <c r="L31" s="10">
        <v>21250</v>
      </c>
      <c r="M31" s="10">
        <v>21250</v>
      </c>
      <c r="N31" s="10">
        <v>21875</v>
      </c>
      <c r="O31" s="10">
        <v>20000</v>
      </c>
      <c r="P31" s="10">
        <v>22250</v>
      </c>
      <c r="Q31" s="10">
        <v>20650</v>
      </c>
      <c r="R31" s="10">
        <v>22028.75</v>
      </c>
      <c r="S31" s="10">
        <v>23750</v>
      </c>
      <c r="T31" s="10">
        <v>22362.5</v>
      </c>
      <c r="U31" s="10">
        <v>20650</v>
      </c>
      <c r="V31" s="10">
        <v>21625</v>
      </c>
      <c r="W31" s="10">
        <v>22000</v>
      </c>
      <c r="X31" s="10">
        <v>21675</v>
      </c>
      <c r="Y31" s="10">
        <v>22537.5</v>
      </c>
      <c r="Z31" s="10">
        <v>23450</v>
      </c>
      <c r="AA31" s="10">
        <v>21542.5</v>
      </c>
      <c r="AB31" s="10">
        <v>23375</v>
      </c>
      <c r="AC31" s="10">
        <v>22400</v>
      </c>
      <c r="AD31" s="10">
        <v>21162.5</v>
      </c>
      <c r="AE31" s="10">
        <v>22875</v>
      </c>
      <c r="AF31" s="10">
        <v>21900</v>
      </c>
      <c r="AG31" s="10">
        <v>22800</v>
      </c>
      <c r="AH31" s="10">
        <v>24862.5</v>
      </c>
      <c r="AI31" s="10">
        <v>23500</v>
      </c>
      <c r="AJ31" s="10">
        <v>24000</v>
      </c>
      <c r="AK31" s="10">
        <v>23403.75</v>
      </c>
      <c r="AL31" s="10">
        <v>22112.5</v>
      </c>
      <c r="AM31" s="10">
        <v>23903.75</v>
      </c>
    </row>
    <row r="32" spans="1:39" ht="15" customHeight="1" x14ac:dyDescent="0.2">
      <c r="A32" s="15"/>
      <c r="B32" s="9" t="s">
        <v>60</v>
      </c>
      <c r="C32" s="16">
        <f>Assumptions!$B$19</f>
        <v>0</v>
      </c>
      <c r="D32" s="20">
        <v>36287.5</v>
      </c>
      <c r="E32" s="10">
        <v>38250</v>
      </c>
      <c r="F32" s="10">
        <v>39375</v>
      </c>
      <c r="G32" s="10">
        <v>39875</v>
      </c>
      <c r="H32" s="10">
        <v>37625.25</v>
      </c>
      <c r="I32" s="10">
        <v>38587.5</v>
      </c>
      <c r="J32" s="10">
        <v>42611.25</v>
      </c>
      <c r="K32" s="10">
        <v>37746.5</v>
      </c>
      <c r="L32" s="10">
        <v>40623.375</v>
      </c>
      <c r="M32" s="10">
        <v>40748.375</v>
      </c>
      <c r="N32" s="10">
        <v>41138.25</v>
      </c>
      <c r="O32" s="10">
        <v>37462.5</v>
      </c>
      <c r="P32" s="10">
        <v>41953.75</v>
      </c>
      <c r="Q32" s="10">
        <v>39786.125</v>
      </c>
      <c r="R32" s="10">
        <v>42748.5</v>
      </c>
      <c r="S32" s="10">
        <v>45136</v>
      </c>
      <c r="T32" s="10">
        <v>44042.5</v>
      </c>
      <c r="U32" s="10">
        <v>38859.5</v>
      </c>
      <c r="V32" s="10">
        <v>39945.375</v>
      </c>
      <c r="W32" s="10">
        <v>41412.375</v>
      </c>
      <c r="X32" s="10">
        <v>43900</v>
      </c>
      <c r="Y32" s="10">
        <v>43362.5</v>
      </c>
      <c r="Z32" s="10">
        <v>45134.625</v>
      </c>
      <c r="AA32" s="10">
        <v>44636.25</v>
      </c>
      <c r="AB32" s="10">
        <v>44648.5</v>
      </c>
      <c r="AC32" s="10">
        <v>43347.625</v>
      </c>
      <c r="AD32" s="10">
        <v>45650</v>
      </c>
      <c r="AE32" s="10">
        <v>47362.5</v>
      </c>
      <c r="AF32" s="10">
        <v>45037.5</v>
      </c>
      <c r="AG32" s="10">
        <v>45662.5</v>
      </c>
      <c r="AH32" s="10">
        <v>49731.25</v>
      </c>
      <c r="AI32" s="10">
        <v>47362.5</v>
      </c>
      <c r="AJ32" s="10">
        <v>48775</v>
      </c>
      <c r="AK32" s="10">
        <v>47527.25</v>
      </c>
      <c r="AL32" s="10">
        <v>48785</v>
      </c>
      <c r="AM32" s="10">
        <v>46925</v>
      </c>
    </row>
    <row r="33" spans="1:39" ht="15" customHeight="1" x14ac:dyDescent="0.2">
      <c r="B33" s="9" t="s">
        <v>13</v>
      </c>
      <c r="C33" s="72">
        <f>Assumptions!$B$20</f>
        <v>0</v>
      </c>
      <c r="D33" s="20">
        <f ca="1">Actual!C65</f>
        <v>94783.222500000003</v>
      </c>
      <c r="E33" s="10">
        <f ca="1">Actual!D65</f>
        <v>87657.647274999996</v>
      </c>
      <c r="F33" s="10">
        <f ca="1">Actual!E65</f>
        <v>85008.902900000001</v>
      </c>
      <c r="G33" s="10">
        <f ca="1">Actual!F65</f>
        <v>74137.5</v>
      </c>
      <c r="H33" s="10">
        <f ca="1">Actual!G65</f>
        <v>79677.375</v>
      </c>
      <c r="I33" s="10">
        <f ca="1">Actual!H65</f>
        <v>74425.210000000006</v>
      </c>
      <c r="J33" s="10">
        <f ca="1">Actual!I65</f>
        <v>64505.75450000001</v>
      </c>
      <c r="K33" s="10">
        <f ca="1">Actual!J65</f>
        <v>69426.00450000001</v>
      </c>
      <c r="L33" s="10">
        <f ca="1">Actual!K65</f>
        <v>55615.774500000014</v>
      </c>
      <c r="M33" s="10">
        <f ca="1">Actual!L65</f>
        <v>51809.967825000014</v>
      </c>
      <c r="N33" s="10">
        <f ca="1">Actual!M65</f>
        <v>52842.766012500011</v>
      </c>
      <c r="O33" s="10">
        <f ca="1">Actual!N65</f>
        <v>56146.449762500008</v>
      </c>
      <c r="P33" s="10">
        <f ca="1">Actual!P65</f>
        <v>46190.612500000003</v>
      </c>
      <c r="Q33" s="10">
        <f ca="1">Actual!Q65</f>
        <v>64901.988500000007</v>
      </c>
      <c r="R33" s="10">
        <f ca="1">Actual!R65</f>
        <v>67864.459250000014</v>
      </c>
      <c r="S33" s="10">
        <f ca="1">Actual!S65</f>
        <v>80423.600475000014</v>
      </c>
      <c r="T33" s="10">
        <f ca="1">Actual!T65</f>
        <v>97704.331475000014</v>
      </c>
      <c r="U33" s="10">
        <f ca="1">Actual!U65</f>
        <v>113005.72747500002</v>
      </c>
      <c r="V33" s="10">
        <f ca="1">Actual!V65</f>
        <v>117840.71442500003</v>
      </c>
      <c r="W33" s="10">
        <f ca="1">Actual!W65</f>
        <v>122725.12817500002</v>
      </c>
      <c r="X33" s="10">
        <f ca="1">Actual!X65</f>
        <v>132213.21617500001</v>
      </c>
      <c r="Y33" s="10">
        <f ca="1">Actual!Y65</f>
        <v>136960.32140000002</v>
      </c>
      <c r="Z33" s="10">
        <f ca="1">Actual!Z65</f>
        <v>148408.06965000002</v>
      </c>
      <c r="AA33" s="10">
        <f ca="1">Actual!AA65</f>
        <v>165461.35565000001</v>
      </c>
      <c r="AB33" s="10">
        <f ca="1">Actual!AC65</f>
        <v>172978.32735000001</v>
      </c>
      <c r="AC33" s="10">
        <f ca="1">Actual!AD65</f>
        <v>172022.2311</v>
      </c>
      <c r="AD33" s="10">
        <f ca="1">Actual!AE65</f>
        <v>185113.58735000002</v>
      </c>
      <c r="AE33" s="10">
        <f ca="1">Actual!AF65</f>
        <v>194005.08935000002</v>
      </c>
      <c r="AF33" s="10">
        <f ca="1">Actual!AG65</f>
        <v>212763.39035000003</v>
      </c>
      <c r="AG33" s="10">
        <f ca="1">Actual!AH65</f>
        <v>226681.79535000003</v>
      </c>
      <c r="AH33" s="10">
        <f ca="1">Actual!AI65</f>
        <v>234824.77090000003</v>
      </c>
      <c r="AI33" s="10">
        <f ca="1">Actual!AJ65</f>
        <v>255907.34252500004</v>
      </c>
      <c r="AJ33" s="10">
        <f ca="1">Actual!AK65</f>
        <v>260263.14877500004</v>
      </c>
      <c r="AK33" s="10">
        <f ca="1">Actual!AL65</f>
        <v>259690.30641250004</v>
      </c>
      <c r="AL33" s="10">
        <f ca="1">Actual!AM65</f>
        <v>278427.75641250005</v>
      </c>
      <c r="AM33" s="10">
        <f ca="1">Actual!AN65</f>
        <v>289212.04391250003</v>
      </c>
    </row>
    <row r="34" spans="1:39" s="37" customFormat="1" ht="15" customHeight="1" thickBot="1" x14ac:dyDescent="0.25">
      <c r="C34" s="73">
        <f t="shared" ref="C34:AM34" si="9">SUM(C29:C33)</f>
        <v>0</v>
      </c>
      <c r="D34" s="53">
        <f t="shared" ca="1" si="9"/>
        <v>150570.7225</v>
      </c>
      <c r="E34" s="53">
        <f t="shared" ca="1" si="9"/>
        <v>148407.647275</v>
      </c>
      <c r="F34" s="53">
        <f t="shared" ca="1" si="9"/>
        <v>145008.90289999999</v>
      </c>
      <c r="G34" s="53">
        <f t="shared" ca="1" si="9"/>
        <v>135412.5</v>
      </c>
      <c r="H34" s="53">
        <f t="shared" ca="1" si="9"/>
        <v>146877.625</v>
      </c>
      <c r="I34" s="53">
        <f t="shared" ca="1" si="9"/>
        <v>143837.71000000002</v>
      </c>
      <c r="J34" s="53">
        <f t="shared" ca="1" si="9"/>
        <v>139567.00450000001</v>
      </c>
      <c r="K34" s="53">
        <f t="shared" ca="1" si="9"/>
        <v>139572.50450000001</v>
      </c>
      <c r="L34" s="53">
        <f t="shared" ca="1" si="9"/>
        <v>130889.14950000001</v>
      </c>
      <c r="M34" s="53">
        <f t="shared" ca="1" si="9"/>
        <v>127208.34282500001</v>
      </c>
      <c r="N34" s="53">
        <f t="shared" ca="1" si="9"/>
        <v>129256.01601250001</v>
      </c>
      <c r="O34" s="53">
        <f t="shared" ca="1" si="9"/>
        <v>127008.94976250001</v>
      </c>
      <c r="P34" s="53">
        <f t="shared" ca="1" si="9"/>
        <v>128381.8625</v>
      </c>
      <c r="Q34" s="53">
        <f t="shared" ca="1" si="9"/>
        <v>141613.11350000001</v>
      </c>
      <c r="R34" s="53">
        <f t="shared" ca="1" si="9"/>
        <v>147204.20925000001</v>
      </c>
      <c r="S34" s="53">
        <f t="shared" ca="1" si="9"/>
        <v>162159.60047500001</v>
      </c>
      <c r="T34" s="53">
        <f t="shared" ca="1" si="9"/>
        <v>175246.83147500001</v>
      </c>
      <c r="U34" s="53">
        <f t="shared" ca="1" si="9"/>
        <v>181940.22747500002</v>
      </c>
      <c r="V34" s="53">
        <f t="shared" ca="1" si="9"/>
        <v>187123.58942500001</v>
      </c>
      <c r="W34" s="53">
        <f t="shared" ca="1" si="9"/>
        <v>194473.00317500002</v>
      </c>
      <c r="X34" s="53">
        <f t="shared" ca="1" si="9"/>
        <v>204348.71617500001</v>
      </c>
      <c r="Y34" s="53">
        <f t="shared" ca="1" si="9"/>
        <v>207645.82140000002</v>
      </c>
      <c r="Z34" s="53">
        <f t="shared" ca="1" si="9"/>
        <v>220003.19465000002</v>
      </c>
      <c r="AA34" s="53">
        <f t="shared" ca="1" si="9"/>
        <v>232875.60565000001</v>
      </c>
      <c r="AB34" s="53">
        <f t="shared" ca="1" si="9"/>
        <v>240812.32735000001</v>
      </c>
      <c r="AC34" s="53">
        <f t="shared" ca="1" si="9"/>
        <v>244100.3561</v>
      </c>
      <c r="AD34" s="53">
        <f t="shared" ca="1" si="9"/>
        <v>256656.58735000002</v>
      </c>
      <c r="AE34" s="53">
        <f t="shared" ca="1" si="9"/>
        <v>267373.08935000002</v>
      </c>
      <c r="AF34" s="53">
        <f t="shared" ca="1" si="9"/>
        <v>281231.39035</v>
      </c>
      <c r="AG34" s="53">
        <f t="shared" ca="1" si="9"/>
        <v>295074.79535000003</v>
      </c>
      <c r="AH34" s="53">
        <f t="shared" ca="1" si="9"/>
        <v>307749.0209</v>
      </c>
      <c r="AI34" s="53">
        <f t="shared" ca="1" si="9"/>
        <v>323500.34252500004</v>
      </c>
      <c r="AJ34" s="53">
        <f t="shared" ca="1" si="9"/>
        <v>328168.64877500001</v>
      </c>
      <c r="AK34" s="53">
        <f t="shared" ca="1" si="9"/>
        <v>333394.30641250004</v>
      </c>
      <c r="AL34" s="53">
        <f t="shared" ca="1" si="9"/>
        <v>350310.75641250005</v>
      </c>
      <c r="AM34" s="53">
        <f t="shared" ca="1" si="9"/>
        <v>359238.79391250003</v>
      </c>
    </row>
    <row r="35" spans="1:39" ht="15" customHeight="1" thickTop="1" x14ac:dyDescent="0.2">
      <c r="B35" s="37" t="s">
        <v>14</v>
      </c>
      <c r="C35" s="10"/>
      <c r="D35" s="10"/>
      <c r="E35" s="10"/>
      <c r="F35" s="10"/>
      <c r="G35" s="10"/>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row>
    <row r="36" spans="1:39" ht="15" customHeight="1" x14ac:dyDescent="0.2">
      <c r="A36" s="15"/>
      <c r="B36" s="9" t="s">
        <v>34</v>
      </c>
      <c r="C36" s="16">
        <f>-Assumptions!$B$21</f>
        <v>0</v>
      </c>
      <c r="D36" s="10">
        <v>125</v>
      </c>
      <c r="E36" s="10">
        <v>125</v>
      </c>
      <c r="F36" s="10">
        <v>187.5</v>
      </c>
      <c r="G36" s="10">
        <v>187.5</v>
      </c>
      <c r="H36" s="10">
        <v>187.5</v>
      </c>
      <c r="I36" s="10">
        <v>187.5</v>
      </c>
      <c r="J36" s="10">
        <v>187.5</v>
      </c>
      <c r="K36" s="10">
        <v>187.5</v>
      </c>
      <c r="L36" s="10">
        <v>187.5</v>
      </c>
      <c r="M36" s="10">
        <v>187.5</v>
      </c>
      <c r="N36" s="10">
        <v>187.5</v>
      </c>
      <c r="O36" s="10">
        <v>187.5</v>
      </c>
      <c r="P36" s="10">
        <v>187.5</v>
      </c>
      <c r="Q36" s="10">
        <v>187.5</v>
      </c>
      <c r="R36" s="10">
        <v>187.5</v>
      </c>
      <c r="S36" s="10">
        <v>187.5</v>
      </c>
      <c r="T36" s="10">
        <v>187.5</v>
      </c>
      <c r="U36" s="10">
        <v>187.5</v>
      </c>
      <c r="V36" s="10">
        <v>187.5</v>
      </c>
      <c r="W36" s="10">
        <v>187.5</v>
      </c>
      <c r="X36" s="10">
        <v>187.5</v>
      </c>
      <c r="Y36" s="10">
        <v>187.5</v>
      </c>
      <c r="Z36" s="10">
        <v>187.5</v>
      </c>
      <c r="AA36" s="10">
        <v>187.5</v>
      </c>
      <c r="AB36" s="10">
        <v>187.5</v>
      </c>
      <c r="AC36" s="10">
        <v>187.5</v>
      </c>
      <c r="AD36" s="10">
        <v>187.5</v>
      </c>
      <c r="AE36" s="10">
        <v>187.5</v>
      </c>
      <c r="AF36" s="10">
        <v>187.5</v>
      </c>
      <c r="AG36" s="10">
        <v>187.5</v>
      </c>
      <c r="AH36" s="10">
        <v>187.5</v>
      </c>
      <c r="AI36" s="10">
        <v>187.5</v>
      </c>
      <c r="AJ36" s="10">
        <v>187.5</v>
      </c>
      <c r="AK36" s="10">
        <v>187.5</v>
      </c>
      <c r="AL36" s="10">
        <v>187.5</v>
      </c>
      <c r="AM36" s="10">
        <v>187.5</v>
      </c>
    </row>
    <row r="37" spans="1:39" ht="15" customHeight="1" x14ac:dyDescent="0.2">
      <c r="B37" s="9" t="s">
        <v>15</v>
      </c>
      <c r="C37" s="16">
        <f>-Assumptions!$B$22</f>
        <v>0</v>
      </c>
      <c r="D37" s="10">
        <f ca="1">C37+Actual!C29</f>
        <v>-713.75</v>
      </c>
      <c r="E37" s="10">
        <f ca="1">D37+Actual!D29</f>
        <v>-1505</v>
      </c>
      <c r="F37" s="10">
        <f ca="1">E37+Actual!E29</f>
        <v>-3083.75</v>
      </c>
      <c r="G37" s="10">
        <f ca="1">F37+Actual!F29</f>
        <v>-4915</v>
      </c>
      <c r="H37" s="10">
        <f ca="1">G37+Actual!G29</f>
        <v>-5748.375</v>
      </c>
      <c r="I37" s="10">
        <f ca="1">H37+Actual!H29</f>
        <v>-8363.25</v>
      </c>
      <c r="J37" s="10">
        <f ca="1">I37+Actual!I29</f>
        <v>-9050.75</v>
      </c>
      <c r="K37" s="10">
        <f ca="1">J37+Actual!J29</f>
        <v>-10110.75</v>
      </c>
      <c r="L37" s="10">
        <f ca="1">K37+Actual!K29</f>
        <v>-15015.625</v>
      </c>
      <c r="M37" s="10">
        <f ca="1">L37+Actual!L29</f>
        <v>-17376.875</v>
      </c>
      <c r="N37" s="10">
        <f ca="1">M37+Actual!M29</f>
        <v>-18474.375</v>
      </c>
      <c r="O37" s="10">
        <f ca="1">N37+Actual!N29</f>
        <v>-19238.125</v>
      </c>
      <c r="P37" s="10">
        <f ca="1">O37+Actual!P29</f>
        <v>-9047.3087500000001</v>
      </c>
      <c r="Q37" s="10">
        <f ca="1">P37+Actual!Q29</f>
        <v>24.991949999999633</v>
      </c>
      <c r="R37" s="10">
        <f ca="1">Q37+Actual!R29</f>
        <v>11127.608974999999</v>
      </c>
      <c r="S37" s="10">
        <f ca="1">R37+Actual!S29</f>
        <v>22941.878024999998</v>
      </c>
      <c r="T37" s="10">
        <f ca="1">S37+Actual!T29</f>
        <v>34352.427224999999</v>
      </c>
      <c r="U37" s="10">
        <f ca="1">T37+Actual!U29</f>
        <v>42451.441924999999</v>
      </c>
      <c r="V37" s="10">
        <f ca="1">U37+Actual!V29</f>
        <v>52967.507675000001</v>
      </c>
      <c r="W37" s="10">
        <f ca="1">V37+Actual!W29</f>
        <v>63683.0723</v>
      </c>
      <c r="X37" s="10">
        <f ca="1">W37+Actual!X29</f>
        <v>73887.783899999995</v>
      </c>
      <c r="Y37" s="10">
        <f ca="1">X37+Actual!Y29</f>
        <v>83241.946400000001</v>
      </c>
      <c r="Z37" s="10">
        <f ca="1">Y37+Actual!Z29</f>
        <v>95618.424650000001</v>
      </c>
      <c r="AA37" s="10">
        <f ca="1">Z37+Actual!AA29</f>
        <v>107037.61235</v>
      </c>
      <c r="AB37" s="10">
        <f ca="1">AA37+Actual!AC29</f>
        <v>118607.56285</v>
      </c>
      <c r="AC37" s="10">
        <f ca="1">AB37+Actual!AD29</f>
        <v>128617.8416</v>
      </c>
      <c r="AD37" s="10">
        <f ca="1">AC37+Actual!AE29</f>
        <v>139932.65784999999</v>
      </c>
      <c r="AE37" s="10">
        <f ca="1">AD37+Actual!AF29</f>
        <v>153548.25989999998</v>
      </c>
      <c r="AF37" s="10">
        <f ca="1">AE37+Actual!AG29</f>
        <v>161663.43589999998</v>
      </c>
      <c r="AG37" s="10">
        <f ca="1">AF37+Actual!AH29</f>
        <v>177581.96589999998</v>
      </c>
      <c r="AH37" s="10">
        <f ca="1">AG37+Actual!AI29</f>
        <v>191335.82939999999</v>
      </c>
      <c r="AI37" s="10">
        <f ca="1">AH37+Actual!AJ29</f>
        <v>204940.97953749998</v>
      </c>
      <c r="AJ37" s="10">
        <f ca="1">AI37+Actual!AK29</f>
        <v>215711.30641249998</v>
      </c>
      <c r="AK37" s="10">
        <f ca="1">AJ37+Actual!AL29</f>
        <v>226558.10641249997</v>
      </c>
      <c r="AL37" s="10">
        <f ca="1">AK37+Actual!AM29</f>
        <v>239601.79641249997</v>
      </c>
      <c r="AM37" s="10">
        <f ca="1">AL37+Actual!AN29</f>
        <v>252089.23516249997</v>
      </c>
    </row>
    <row r="38" spans="1:39" s="11" customFormat="1" ht="15" customHeight="1" x14ac:dyDescent="0.2">
      <c r="A38" s="15"/>
      <c r="B38" s="11" t="s">
        <v>19</v>
      </c>
      <c r="C38" s="16">
        <f>-Assumptions!$B$23</f>
        <v>0</v>
      </c>
      <c r="D38" s="12">
        <v>135724.375</v>
      </c>
      <c r="E38" s="12">
        <v>133933.875</v>
      </c>
      <c r="F38" s="12">
        <v>132128.625</v>
      </c>
      <c r="G38" s="12">
        <v>130308.375</v>
      </c>
      <c r="H38" s="12">
        <v>139577.375</v>
      </c>
      <c r="I38" s="12">
        <v>137580</v>
      </c>
      <c r="J38" s="12">
        <v>135566</v>
      </c>
      <c r="K38" s="12">
        <v>133535.25</v>
      </c>
      <c r="L38" s="12">
        <v>131487.5</v>
      </c>
      <c r="M38" s="12">
        <v>129422.75</v>
      </c>
      <c r="N38" s="12">
        <v>127340.75</v>
      </c>
      <c r="O38" s="12">
        <v>125241.375</v>
      </c>
      <c r="P38" s="12">
        <v>123124.625</v>
      </c>
      <c r="Q38" s="12">
        <v>120990.125</v>
      </c>
      <c r="R38" s="12">
        <v>118837.875</v>
      </c>
      <c r="S38" s="12">
        <v>124070.875</v>
      </c>
      <c r="T38" s="12">
        <v>121785</v>
      </c>
      <c r="U38" s="12">
        <v>119480</v>
      </c>
      <c r="V38" s="12">
        <v>117155.75</v>
      </c>
      <c r="W38" s="12">
        <v>114812.25</v>
      </c>
      <c r="X38" s="12">
        <v>112449.125</v>
      </c>
      <c r="Y38" s="12">
        <v>110066.375</v>
      </c>
      <c r="Z38" s="12">
        <v>107663.75</v>
      </c>
      <c r="AA38" s="12">
        <v>105241.125</v>
      </c>
      <c r="AB38" s="12">
        <v>102798.25</v>
      </c>
      <c r="AC38" s="12">
        <v>100335</v>
      </c>
      <c r="AD38" s="12">
        <v>97851.375</v>
      </c>
      <c r="AE38" s="12">
        <v>95346.875</v>
      </c>
      <c r="AF38" s="12">
        <v>102692.5</v>
      </c>
      <c r="AG38" s="12">
        <v>100015.875</v>
      </c>
      <c r="AH38" s="12">
        <v>97317.125</v>
      </c>
      <c r="AI38" s="12">
        <v>94595.75</v>
      </c>
      <c r="AJ38" s="12">
        <v>91851.75</v>
      </c>
      <c r="AK38" s="12">
        <v>89084.75</v>
      </c>
      <c r="AL38" s="12">
        <v>89996.375</v>
      </c>
      <c r="AM38" s="12">
        <v>87134.375</v>
      </c>
    </row>
    <row r="39" spans="1:39" ht="15" customHeight="1" x14ac:dyDescent="0.2">
      <c r="B39" s="8" t="s">
        <v>16</v>
      </c>
      <c r="C39" s="10"/>
      <c r="D39" s="10"/>
      <c r="E39" s="10"/>
      <c r="F39" s="10"/>
      <c r="G39" s="10"/>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row>
    <row r="40" spans="1:39" ht="15" customHeight="1" x14ac:dyDescent="0.2">
      <c r="A40" s="15"/>
      <c r="B40" s="9" t="s">
        <v>61</v>
      </c>
      <c r="C40" s="16">
        <f>-Assumptions!$B$24</f>
        <v>0</v>
      </c>
      <c r="D40" s="10">
        <v>13047.5</v>
      </c>
      <c r="E40" s="10">
        <v>10250.125</v>
      </c>
      <c r="F40" s="10">
        <v>8167.125</v>
      </c>
      <c r="G40" s="10">
        <v>9311.625</v>
      </c>
      <c r="H40" s="10">
        <v>11761.125</v>
      </c>
      <c r="I40" s="10">
        <v>12623</v>
      </c>
      <c r="J40" s="10">
        <v>9716.75</v>
      </c>
      <c r="K40" s="10">
        <v>12095</v>
      </c>
      <c r="L40" s="10">
        <v>8580</v>
      </c>
      <c r="M40" s="10">
        <v>11652</v>
      </c>
      <c r="N40" s="10">
        <v>13428.75</v>
      </c>
      <c r="O40" s="10">
        <v>10796.375</v>
      </c>
      <c r="P40" s="10">
        <v>11648.625</v>
      </c>
      <c r="Q40" s="10">
        <v>17953</v>
      </c>
      <c r="R40" s="10">
        <v>10053.5</v>
      </c>
      <c r="S40" s="10">
        <v>12271.875</v>
      </c>
      <c r="T40" s="10">
        <v>13530</v>
      </c>
      <c r="U40" s="10">
        <v>13147.25</v>
      </c>
      <c r="V40" s="10">
        <v>15085.25</v>
      </c>
      <c r="W40" s="10">
        <v>12916.25</v>
      </c>
      <c r="X40" s="10">
        <v>12212.75</v>
      </c>
      <c r="Y40" s="10">
        <v>13278</v>
      </c>
      <c r="Z40" s="10">
        <v>12853.75</v>
      </c>
      <c r="AA40" s="10">
        <v>13570</v>
      </c>
      <c r="AB40" s="10">
        <v>16321</v>
      </c>
      <c r="AC40" s="10">
        <v>12244</v>
      </c>
      <c r="AD40" s="10">
        <v>13828.75</v>
      </c>
      <c r="AE40" s="10">
        <v>16098</v>
      </c>
      <c r="AF40" s="10">
        <v>14377.5</v>
      </c>
      <c r="AG40" s="10">
        <v>13433.75</v>
      </c>
      <c r="AH40" s="10">
        <v>16300.75</v>
      </c>
      <c r="AI40" s="10">
        <v>17643.75</v>
      </c>
      <c r="AJ40" s="10">
        <v>12617</v>
      </c>
      <c r="AK40" s="10">
        <v>16300.875</v>
      </c>
      <c r="AL40" s="10">
        <v>16193.125</v>
      </c>
      <c r="AM40" s="10">
        <v>12825</v>
      </c>
    </row>
    <row r="41" spans="1:39" ht="15" customHeight="1" x14ac:dyDescent="0.2">
      <c r="A41" s="15"/>
      <c r="B41" s="9" t="s">
        <v>147</v>
      </c>
      <c r="C41" s="16">
        <f>-Assumptions!$B$25</f>
        <v>0</v>
      </c>
      <c r="D41" s="10">
        <v>1000</v>
      </c>
      <c r="E41" s="10">
        <v>2250</v>
      </c>
      <c r="F41" s="10">
        <v>3001</v>
      </c>
      <c r="G41" s="10">
        <v>520</v>
      </c>
      <c r="H41" s="10">
        <v>1100</v>
      </c>
      <c r="I41" s="10">
        <v>1152</v>
      </c>
      <c r="J41" s="10">
        <v>1187</v>
      </c>
      <c r="K41" s="10">
        <v>1905</v>
      </c>
      <c r="L41" s="10">
        <v>2570</v>
      </c>
      <c r="M41" s="10">
        <v>1280</v>
      </c>
      <c r="N41" s="10">
        <v>2450</v>
      </c>
      <c r="O41" s="10">
        <v>3452</v>
      </c>
      <c r="P41" s="10">
        <v>895</v>
      </c>
      <c r="Q41" s="10">
        <v>197</v>
      </c>
      <c r="R41" s="10">
        <v>2804</v>
      </c>
      <c r="S41" s="10">
        <v>1206</v>
      </c>
      <c r="T41" s="10">
        <v>1850</v>
      </c>
      <c r="U41" s="10">
        <v>2864</v>
      </c>
      <c r="V41" s="10">
        <v>1300</v>
      </c>
      <c r="W41" s="10">
        <v>2050</v>
      </c>
      <c r="X41" s="10">
        <v>3296</v>
      </c>
      <c r="Y41" s="10">
        <v>872</v>
      </c>
      <c r="Z41" s="10">
        <v>1800</v>
      </c>
      <c r="AA41" s="10">
        <v>2935</v>
      </c>
      <c r="AB41" s="10">
        <v>1564</v>
      </c>
      <c r="AC41" s="10">
        <v>1382</v>
      </c>
      <c r="AD41" s="10">
        <v>2680</v>
      </c>
      <c r="AE41" s="10">
        <v>1302</v>
      </c>
      <c r="AF41" s="10">
        <v>1420</v>
      </c>
      <c r="AG41" s="10">
        <v>2695</v>
      </c>
      <c r="AH41" s="10">
        <v>1583</v>
      </c>
      <c r="AI41" s="10">
        <v>3010</v>
      </c>
      <c r="AJ41" s="10">
        <v>3892</v>
      </c>
      <c r="AK41" s="10">
        <v>561</v>
      </c>
      <c r="AL41" s="10">
        <v>1805</v>
      </c>
      <c r="AM41" s="10">
        <v>2900</v>
      </c>
    </row>
    <row r="42" spans="1:39" ht="15" customHeight="1" x14ac:dyDescent="0.2">
      <c r="A42" s="15"/>
      <c r="B42" s="9" t="s">
        <v>28</v>
      </c>
      <c r="C42" s="16">
        <f>-Assumptions!B26</f>
        <v>0</v>
      </c>
      <c r="D42" s="10">
        <v>1387.5974999999996</v>
      </c>
      <c r="E42" s="10">
        <v>3353.6472749999994</v>
      </c>
      <c r="F42" s="10">
        <v>4608.4028999999991</v>
      </c>
      <c r="G42" s="10">
        <v>0</v>
      </c>
      <c r="H42" s="10">
        <v>0</v>
      </c>
      <c r="I42" s="10">
        <v>658.46</v>
      </c>
      <c r="J42" s="10">
        <v>1960.5044999999998</v>
      </c>
      <c r="K42" s="10">
        <v>1960.5044999999998</v>
      </c>
      <c r="L42" s="10">
        <v>3079.7744999999995</v>
      </c>
      <c r="M42" s="10">
        <v>2042.9678249999997</v>
      </c>
      <c r="N42" s="10">
        <v>4323.3910125000002</v>
      </c>
      <c r="O42" s="10">
        <v>6569.8247625000004</v>
      </c>
      <c r="P42" s="10">
        <v>1573.4212500000003</v>
      </c>
      <c r="Q42" s="10">
        <v>2260.4965500000003</v>
      </c>
      <c r="R42" s="10">
        <v>4193.7252750000007</v>
      </c>
      <c r="S42" s="10">
        <v>1481.47245</v>
      </c>
      <c r="T42" s="10">
        <v>3541.9042499999996</v>
      </c>
      <c r="U42" s="10">
        <v>3810.0355499999996</v>
      </c>
      <c r="V42" s="10">
        <v>427.58174999999972</v>
      </c>
      <c r="W42" s="10">
        <v>823.93087499999956</v>
      </c>
      <c r="X42" s="10">
        <v>2315.5572749999992</v>
      </c>
      <c r="Y42" s="10">
        <v>0</v>
      </c>
      <c r="Z42" s="10">
        <v>1879.77</v>
      </c>
      <c r="AA42" s="10">
        <v>3904.3683000000001</v>
      </c>
      <c r="AB42" s="10">
        <v>1334.0145</v>
      </c>
      <c r="AC42" s="10">
        <v>1334.0145</v>
      </c>
      <c r="AD42" s="10">
        <v>2176.3045000000002</v>
      </c>
      <c r="AE42" s="10">
        <v>890.45444999999961</v>
      </c>
      <c r="AF42" s="10">
        <v>890.45444999999961</v>
      </c>
      <c r="AG42" s="10">
        <v>1160.7044499999997</v>
      </c>
      <c r="AH42" s="10">
        <v>1024.8165000000001</v>
      </c>
      <c r="AI42" s="10">
        <v>3122.3629875000006</v>
      </c>
      <c r="AJ42" s="10">
        <v>3909.0923625000009</v>
      </c>
      <c r="AK42" s="10">
        <v>702.07499999999993</v>
      </c>
      <c r="AL42" s="10">
        <v>2526.9599999999991</v>
      </c>
      <c r="AM42" s="10">
        <v>4102.6837499999983</v>
      </c>
    </row>
    <row r="43" spans="1:39" s="37" customFormat="1" ht="15" customHeight="1" thickBot="1" x14ac:dyDescent="0.25">
      <c r="C43" s="53">
        <f t="shared" ref="C43:AM43" si="10">SUM(C36:C42)</f>
        <v>0</v>
      </c>
      <c r="D43" s="53">
        <f t="shared" ca="1" si="10"/>
        <v>150570.7225</v>
      </c>
      <c r="E43" s="53">
        <f t="shared" ca="1" si="10"/>
        <v>148407.647275</v>
      </c>
      <c r="F43" s="53">
        <f t="shared" ca="1" si="10"/>
        <v>145008.90289999999</v>
      </c>
      <c r="G43" s="53">
        <f t="shared" ca="1" si="10"/>
        <v>135412.5</v>
      </c>
      <c r="H43" s="53">
        <f t="shared" ca="1" si="10"/>
        <v>146877.625</v>
      </c>
      <c r="I43" s="53">
        <f t="shared" ca="1" si="10"/>
        <v>143837.71</v>
      </c>
      <c r="J43" s="53">
        <f t="shared" ca="1" si="10"/>
        <v>139567.00450000001</v>
      </c>
      <c r="K43" s="53">
        <f t="shared" ca="1" si="10"/>
        <v>139572.50450000001</v>
      </c>
      <c r="L43" s="53">
        <f t="shared" ca="1" si="10"/>
        <v>130889.1495</v>
      </c>
      <c r="M43" s="53">
        <f t="shared" ca="1" si="10"/>
        <v>127208.342825</v>
      </c>
      <c r="N43" s="53">
        <f t="shared" ca="1" si="10"/>
        <v>129256.0160125</v>
      </c>
      <c r="O43" s="53">
        <f t="shared" ca="1" si="10"/>
        <v>127008.94976250001</v>
      </c>
      <c r="P43" s="53">
        <f t="shared" ca="1" si="10"/>
        <v>128381.8625</v>
      </c>
      <c r="Q43" s="53">
        <f t="shared" ca="1" si="10"/>
        <v>141613.11350000001</v>
      </c>
      <c r="R43" s="53">
        <f t="shared" ca="1" si="10"/>
        <v>147204.20924999999</v>
      </c>
      <c r="S43" s="53">
        <f t="shared" ca="1" si="10"/>
        <v>162159.60047499998</v>
      </c>
      <c r="T43" s="53">
        <f t="shared" ca="1" si="10"/>
        <v>175246.83147499998</v>
      </c>
      <c r="U43" s="53">
        <f t="shared" ca="1" si="10"/>
        <v>181940.22747499999</v>
      </c>
      <c r="V43" s="53">
        <f t="shared" ca="1" si="10"/>
        <v>187123.58942500001</v>
      </c>
      <c r="W43" s="53">
        <f t="shared" ca="1" si="10"/>
        <v>194473.00317499999</v>
      </c>
      <c r="X43" s="53">
        <f t="shared" ca="1" si="10"/>
        <v>204348.71617499998</v>
      </c>
      <c r="Y43" s="53">
        <f t="shared" ca="1" si="10"/>
        <v>207645.82140000002</v>
      </c>
      <c r="Z43" s="53">
        <f t="shared" ca="1" si="10"/>
        <v>220003.19464999999</v>
      </c>
      <c r="AA43" s="53">
        <f t="shared" ca="1" si="10"/>
        <v>232875.60565000001</v>
      </c>
      <c r="AB43" s="53">
        <f t="shared" ca="1" si="10"/>
        <v>240812.32734999998</v>
      </c>
      <c r="AC43" s="53">
        <f t="shared" ca="1" si="10"/>
        <v>244100.35609999998</v>
      </c>
      <c r="AD43" s="53">
        <f t="shared" ca="1" si="10"/>
        <v>256656.58734999999</v>
      </c>
      <c r="AE43" s="53">
        <f t="shared" ca="1" si="10"/>
        <v>267373.08934999997</v>
      </c>
      <c r="AF43" s="53">
        <f t="shared" ca="1" si="10"/>
        <v>281231.39035</v>
      </c>
      <c r="AG43" s="53">
        <f t="shared" ca="1" si="10"/>
        <v>295074.79534999997</v>
      </c>
      <c r="AH43" s="53">
        <f t="shared" ca="1" si="10"/>
        <v>307749.0209</v>
      </c>
      <c r="AI43" s="53">
        <f t="shared" ca="1" si="10"/>
        <v>323500.34252499993</v>
      </c>
      <c r="AJ43" s="53">
        <f t="shared" ca="1" si="10"/>
        <v>328168.64877500001</v>
      </c>
      <c r="AK43" s="53">
        <f t="shared" ca="1" si="10"/>
        <v>333394.30641249998</v>
      </c>
      <c r="AL43" s="53">
        <f t="shared" ca="1" si="10"/>
        <v>350310.75641249999</v>
      </c>
      <c r="AM43" s="53">
        <f t="shared" ca="1" si="10"/>
        <v>359238.79391249997</v>
      </c>
    </row>
    <row r="44" spans="1:39" s="17" customFormat="1" ht="15" customHeight="1" thickTop="1" x14ac:dyDescent="0.2">
      <c r="C44" s="70"/>
      <c r="D44" s="70"/>
      <c r="E44" s="70"/>
      <c r="F44" s="70"/>
    </row>
    <row r="45" spans="1:39" s="57" customFormat="1" ht="15" customHeight="1" x14ac:dyDescent="0.2">
      <c r="B45" s="57" t="s">
        <v>81</v>
      </c>
      <c r="C45" s="58" t="str">
        <f>IF(ROUND(C34-C43,0)=0,"ok","error")</f>
        <v>ok</v>
      </c>
      <c r="D45" s="58" t="str">
        <f t="shared" ref="D45:AM45" ca="1" si="11">IF(ROUND(D34-D43,0)=0,"ok","error")</f>
        <v>ok</v>
      </c>
      <c r="E45" s="58" t="str">
        <f t="shared" ca="1" si="11"/>
        <v>ok</v>
      </c>
      <c r="F45" s="58" t="str">
        <f t="shared" ca="1" si="11"/>
        <v>ok</v>
      </c>
      <c r="G45" s="58" t="str">
        <f t="shared" ca="1" si="11"/>
        <v>ok</v>
      </c>
      <c r="H45" s="58" t="str">
        <f t="shared" ca="1" si="11"/>
        <v>ok</v>
      </c>
      <c r="I45" s="58" t="str">
        <f t="shared" ca="1" si="11"/>
        <v>ok</v>
      </c>
      <c r="J45" s="58" t="str">
        <f t="shared" ca="1" si="11"/>
        <v>ok</v>
      </c>
      <c r="K45" s="58" t="str">
        <f t="shared" ca="1" si="11"/>
        <v>ok</v>
      </c>
      <c r="L45" s="58" t="str">
        <f t="shared" ca="1" si="11"/>
        <v>ok</v>
      </c>
      <c r="M45" s="58" t="str">
        <f t="shared" ca="1" si="11"/>
        <v>ok</v>
      </c>
      <c r="N45" s="58" t="str">
        <f t="shared" ca="1" si="11"/>
        <v>ok</v>
      </c>
      <c r="O45" s="58" t="str">
        <f t="shared" ca="1" si="11"/>
        <v>ok</v>
      </c>
      <c r="P45" s="58" t="str">
        <f t="shared" ca="1" si="11"/>
        <v>ok</v>
      </c>
      <c r="Q45" s="58" t="str">
        <f t="shared" ca="1" si="11"/>
        <v>ok</v>
      </c>
      <c r="R45" s="58" t="str">
        <f t="shared" ca="1" si="11"/>
        <v>ok</v>
      </c>
      <c r="S45" s="58" t="str">
        <f t="shared" ca="1" si="11"/>
        <v>ok</v>
      </c>
      <c r="T45" s="58" t="str">
        <f t="shared" ca="1" si="11"/>
        <v>ok</v>
      </c>
      <c r="U45" s="58" t="str">
        <f t="shared" ca="1" si="11"/>
        <v>ok</v>
      </c>
      <c r="V45" s="58" t="str">
        <f t="shared" ca="1" si="11"/>
        <v>ok</v>
      </c>
      <c r="W45" s="58" t="str">
        <f t="shared" ca="1" si="11"/>
        <v>ok</v>
      </c>
      <c r="X45" s="58" t="str">
        <f t="shared" ca="1" si="11"/>
        <v>ok</v>
      </c>
      <c r="Y45" s="58" t="str">
        <f t="shared" ca="1" si="11"/>
        <v>ok</v>
      </c>
      <c r="Z45" s="58" t="str">
        <f t="shared" ca="1" si="11"/>
        <v>ok</v>
      </c>
      <c r="AA45" s="58" t="str">
        <f t="shared" ca="1" si="11"/>
        <v>ok</v>
      </c>
      <c r="AB45" s="58" t="str">
        <f t="shared" ca="1" si="11"/>
        <v>ok</v>
      </c>
      <c r="AC45" s="58" t="str">
        <f t="shared" ca="1" si="11"/>
        <v>ok</v>
      </c>
      <c r="AD45" s="58" t="str">
        <f t="shared" ca="1" si="11"/>
        <v>ok</v>
      </c>
      <c r="AE45" s="58" t="str">
        <f t="shared" ca="1" si="11"/>
        <v>ok</v>
      </c>
      <c r="AF45" s="58" t="str">
        <f t="shared" ca="1" si="11"/>
        <v>ok</v>
      </c>
      <c r="AG45" s="58" t="str">
        <f t="shared" ca="1" si="11"/>
        <v>ok</v>
      </c>
      <c r="AH45" s="58" t="str">
        <f t="shared" ca="1" si="11"/>
        <v>ok</v>
      </c>
      <c r="AI45" s="58" t="str">
        <f t="shared" ca="1" si="11"/>
        <v>ok</v>
      </c>
      <c r="AJ45" s="58" t="str">
        <f t="shared" ca="1" si="11"/>
        <v>ok</v>
      </c>
      <c r="AK45" s="58" t="str">
        <f t="shared" ca="1" si="11"/>
        <v>ok</v>
      </c>
      <c r="AL45" s="58" t="str">
        <f t="shared" ca="1" si="11"/>
        <v>ok</v>
      </c>
      <c r="AM45" s="58" t="str">
        <f t="shared" ca="1" si="11"/>
        <v>ok</v>
      </c>
    </row>
    <row r="47" spans="1:39" s="14" customFormat="1" ht="15" hidden="1" customHeight="1" x14ac:dyDescent="0.2">
      <c r="B47" s="56" t="s">
        <v>152</v>
      </c>
      <c r="C47" s="14">
        <f>-Assumptions!$B$25</f>
        <v>0</v>
      </c>
      <c r="D47" s="14" t="e">
        <f ca="1">((Forecast!C8*Assumptions!$B$36)-(Forecast!#REF!*Assumptions!$B$37)-(SUMIF(Forecast!$A$14:$AO$21,"G",Forecast!C$14:C$21)*Assumptions!$B$38)+(Forecast!C53*Assumptions!$B$39))*Assumptions!$B$35</f>
        <v>#REF!</v>
      </c>
      <c r="E47" s="14" t="e">
        <f ca="1">((Forecast!D8*Assumptions!$B$36)-(Forecast!#REF!*Assumptions!$B$37)-(SUMIF(Forecast!$A$14:$AO$21,"G",Forecast!D$14:D$21)*Assumptions!$B$38)+(Forecast!D52*Assumptions!$B$39))*Assumptions!$B$35</f>
        <v>#REF!</v>
      </c>
      <c r="F47" s="14" t="e">
        <f ca="1">((Forecast!E8*Assumptions!$B$36)-(Forecast!#REF!*Assumptions!$B$37)-(SUMIF(Forecast!$A$14:$AO$21,"G",Forecast!E$14:E$21)*Assumptions!$B$38)+(Forecast!E53*Assumptions!$B$39))*Assumptions!$B$35</f>
        <v>#REF!</v>
      </c>
      <c r="G47" s="14" t="e">
        <f ca="1">((Forecast!F8*Assumptions!$B$36)-(Forecast!#REF!*Assumptions!$B$37)-(SUMIF(Forecast!$A$14:$AO$21,"G",Forecast!F$14:F$21)*Assumptions!$B$38)+(Forecast!F53*Assumptions!$B$39))*Assumptions!$B$35</f>
        <v>#REF!</v>
      </c>
      <c r="H47" s="14" t="e">
        <f ca="1">((Forecast!G8*Assumptions!$B$36)-(Forecast!#REF!*Assumptions!$B$37)-(SUMIF(Forecast!$A$14:$AO$21,"G",Forecast!G$14:G$21)*Assumptions!$B$38)+(Forecast!G53*Assumptions!$B$39))*Assumptions!$B$35</f>
        <v>#REF!</v>
      </c>
      <c r="I47" s="14" t="e">
        <f ca="1">((Forecast!H8*Assumptions!$B$36)-(Forecast!#REF!*Assumptions!$B$37)-(SUMIF(Forecast!$A$14:$AO$21,"G",Forecast!H$14:H$21)*Assumptions!$B$38)+(Forecast!H53*Assumptions!$B$39))*Assumptions!$B$35</f>
        <v>#REF!</v>
      </c>
      <c r="J47" s="14" t="e">
        <f ca="1">((Forecast!I8*Assumptions!$B$36)-(Forecast!#REF!*Assumptions!$B$37)-(SUMIF(Forecast!$A$14:$AO$21,"G",Forecast!I$14:I$21)*Assumptions!$B$38)+(Forecast!I53*Assumptions!$B$39))*Assumptions!$B$35</f>
        <v>#REF!</v>
      </c>
      <c r="K47" s="14" t="e">
        <f ca="1">((Forecast!J8*Assumptions!$B$36)-(Forecast!#REF!*Assumptions!$B$37)-(SUMIF(Forecast!$A$14:$AO$21,"G",Forecast!J$14:J$21)*Assumptions!$B$38)+(Forecast!J53*Assumptions!$B$39))*Assumptions!$B$35</f>
        <v>#REF!</v>
      </c>
      <c r="L47" s="14" t="e">
        <f ca="1">((Forecast!K8*Assumptions!$B$36)-(Forecast!#REF!*Assumptions!$B$37)-(SUMIF(Forecast!$A$14:$AO$21,"G",Forecast!K$14:K$21)*Assumptions!$B$38)+(Forecast!K53*Assumptions!$B$39))*Assumptions!$B$35</f>
        <v>#REF!</v>
      </c>
      <c r="M47" s="14" t="e">
        <f ca="1">((Forecast!L8*Assumptions!$B$36)-(Forecast!#REF!*Assumptions!$B$37)-(SUMIF(Forecast!$A$14:$AO$21,"G",Forecast!L$14:L$21)*Assumptions!$B$38)+(Forecast!L53*Assumptions!$B$39))*Assumptions!$B$35</f>
        <v>#REF!</v>
      </c>
      <c r="N47" s="14" t="e">
        <f ca="1">((Forecast!M8*Assumptions!$B$36)-(Forecast!#REF!*Assumptions!$B$37)-(SUMIF(Forecast!$A$14:$AO$21,"G",Forecast!M$14:M$21)*Assumptions!$B$38)+(Forecast!M53*Assumptions!$B$39))*Assumptions!$B$35</f>
        <v>#REF!</v>
      </c>
      <c r="O47" s="14" t="e">
        <f ca="1">((Forecast!N8*Assumptions!$B$36)-(Forecast!#REF!*Assumptions!$B$37)-(SUMIF(Forecast!$A$14:$AO$21,"G",Forecast!N$14:N$21)*Assumptions!$B$38)+(Forecast!N53*Assumptions!$B$39))*Assumptions!$B$35</f>
        <v>#REF!</v>
      </c>
      <c r="P47" s="14" t="e">
        <f ca="1">((Forecast!P8*Assumptions!$B$36)-(Forecast!#REF!*Assumptions!$B$37)-(SUMIF(Forecast!$A$14:$AO$21,"G",Forecast!P$14:P$21)*Assumptions!$B$38)+(Forecast!P53*Assumptions!$B$39))*Assumptions!$B$35</f>
        <v>#REF!</v>
      </c>
      <c r="Q47" s="14" t="e">
        <f ca="1">((Forecast!Q8*Assumptions!$B$36)-(Forecast!#REF!*Assumptions!$B$37)-(SUMIF(Forecast!$A$14:$AO$21,"G",Forecast!Q$14:Q$21)*Assumptions!$B$38)+(Forecast!Q53*Assumptions!$B$39))*Assumptions!$B$35</f>
        <v>#REF!</v>
      </c>
      <c r="R47" s="14" t="e">
        <f ca="1">((Forecast!R8*Assumptions!$B$36)-(Forecast!#REF!*Assumptions!$B$37)-(SUMIF(Forecast!$A$14:$AO$21,"G",Forecast!R$14:R$21)*Assumptions!$B$38)+(Forecast!R53*Assumptions!$B$39))*Assumptions!$B$35</f>
        <v>#REF!</v>
      </c>
      <c r="S47" s="14" t="e">
        <f ca="1">((Forecast!S8*Assumptions!$B$36)-(Forecast!#REF!*Assumptions!$B$37)-(SUMIF(Forecast!$A$14:$AO$21,"G",Forecast!S$14:S$21)*Assumptions!$B$38)+(Forecast!S53*Assumptions!$B$39))*Assumptions!$B$35</f>
        <v>#REF!</v>
      </c>
      <c r="T47" s="14" t="e">
        <f ca="1">((Forecast!T8*Assumptions!$B$36)-(Forecast!#REF!*Assumptions!$B$37)-(SUMIF(Forecast!$A$14:$AO$21,"G",Forecast!T$14:T$21)*Assumptions!$B$38)+(Forecast!T53*Assumptions!$B$39))*Assumptions!$B$35</f>
        <v>#REF!</v>
      </c>
      <c r="U47" s="14" t="e">
        <f ca="1">((Forecast!U8*Assumptions!$B$36)-(Forecast!#REF!*Assumptions!$B$37)-(SUMIF(Forecast!$A$14:$AO$21,"G",Forecast!U$14:U$21)*Assumptions!$B$38)+(Forecast!U53*Assumptions!$B$39))*Assumptions!$B$35</f>
        <v>#REF!</v>
      </c>
      <c r="V47" s="14" t="e">
        <f ca="1">((Forecast!V8*Assumptions!$B$36)-(Forecast!#REF!*Assumptions!$B$37)-(SUMIF(Forecast!$A$14:$AO$21,"G",Forecast!V$14:V$21)*Assumptions!$B$38)+(Forecast!V53*Assumptions!$B$39))*Assumptions!$B$35</f>
        <v>#REF!</v>
      </c>
      <c r="W47" s="14" t="e">
        <f ca="1">((Forecast!W8*Assumptions!$B$36)-(Forecast!#REF!*Assumptions!$B$37)-(SUMIF(Forecast!$A$14:$AO$21,"G",Forecast!W$14:W$21)*Assumptions!$B$38)+(Forecast!W53*Assumptions!$B$39))*Assumptions!$B$35</f>
        <v>#REF!</v>
      </c>
      <c r="X47" s="14" t="e">
        <f ca="1">((Forecast!X8*Assumptions!$B$36)-(Forecast!#REF!*Assumptions!$B$37)-(SUMIF(Forecast!$A$14:$AO$21,"G",Forecast!X$14:X$21)*Assumptions!$B$38)+(Forecast!X53*Assumptions!$B$39))*Assumptions!$B$35</f>
        <v>#REF!</v>
      </c>
      <c r="Y47" s="14" t="e">
        <f ca="1">((Forecast!Y8*Assumptions!$B$36)-(Forecast!#REF!*Assumptions!$B$37)-(SUMIF(Forecast!$A$14:$AO$21,"G",Forecast!Y$14:Y$21)*Assumptions!$B$38)+(Forecast!Y53*Assumptions!$B$39))*Assumptions!$B$35</f>
        <v>#REF!</v>
      </c>
      <c r="Z47" s="14" t="e">
        <f ca="1">((Forecast!Z8*Assumptions!$B$36)-(Forecast!#REF!*Assumptions!$B$37)-(SUMIF(Forecast!$A$14:$AO$21,"G",Forecast!Z$14:Z$21)*Assumptions!$B$38)+(Forecast!Z53*Assumptions!$B$39))*Assumptions!$B$35</f>
        <v>#REF!</v>
      </c>
      <c r="AA47" s="14" t="e">
        <f ca="1">((Forecast!AA8*Assumptions!$B$36)-(Forecast!#REF!*Assumptions!$B$37)-(SUMIF(Forecast!$A$14:$AO$21,"G",Forecast!AA$14:AA$21)*Assumptions!$B$38)+(Forecast!AA53*Assumptions!$B$39))*Assumptions!$B$35</f>
        <v>#REF!</v>
      </c>
      <c r="AB47" s="14" t="e">
        <f ca="1">((Forecast!AC8*Assumptions!$B$36)-(Forecast!#REF!*Assumptions!$B$37)-(SUMIF(Forecast!$A$14:$AO$21,"G",Forecast!AC$14:AC$21)*Assumptions!$B$38)+(Forecast!AC53*Assumptions!$B$39))*Assumptions!$B$35</f>
        <v>#REF!</v>
      </c>
      <c r="AC47" s="14" t="e">
        <f ca="1">((Forecast!AD8*Assumptions!$B$36)-(Forecast!#REF!*Assumptions!$B$37)-(SUMIF(Forecast!$A$14:$AO$21,"G",Forecast!AD$14:AD$21)*Assumptions!$B$38)+(Forecast!AD53*Assumptions!$B$39))*Assumptions!$B$35</f>
        <v>#REF!</v>
      </c>
      <c r="AD47" s="14" t="e">
        <f ca="1">((Forecast!AE8*Assumptions!$B$36)-(Forecast!#REF!*Assumptions!$B$37)-(SUMIF(Forecast!$A$14:$AO$21,"G",Forecast!AE$14:AE$21)*Assumptions!$B$38)+(Forecast!AE53*Assumptions!$B$39))*Assumptions!$B$35</f>
        <v>#REF!</v>
      </c>
      <c r="AE47" s="14" t="e">
        <f ca="1">((Forecast!AF8*Assumptions!$B$36)-(Forecast!#REF!*Assumptions!$B$37)-(SUMIF(Forecast!$A$14:$AO$21,"G",Forecast!AF$14:AF$21)*Assumptions!$B$38)+(Forecast!AF53*Assumptions!$B$39))*Assumptions!$B$35</f>
        <v>#REF!</v>
      </c>
      <c r="AF47" s="14" t="e">
        <f ca="1">((Forecast!AG8*Assumptions!$B$36)-(Forecast!#REF!*Assumptions!$B$37)-(SUMIF(Forecast!$A$14:$AO$21,"G",Forecast!AG$14:AG$21)*Assumptions!$B$38)+(Forecast!AG53*Assumptions!$B$39))*Assumptions!$B$35</f>
        <v>#REF!</v>
      </c>
      <c r="AG47" s="14" t="e">
        <f ca="1">((Forecast!AH8*Assumptions!$B$36)-(Forecast!#REF!*Assumptions!$B$37)-(SUMIF(Forecast!$A$14:$AO$21,"G",Forecast!AH$14:AH$21)*Assumptions!$B$38)+(Forecast!AH53*Assumptions!$B$39))*Assumptions!$B$35</f>
        <v>#REF!</v>
      </c>
      <c r="AH47" s="14" t="e">
        <f ca="1">((Forecast!AI8*Assumptions!$B$36)-(Forecast!#REF!*Assumptions!$B$37)-(SUMIF(Forecast!$A$14:$AO$21,"G",Forecast!AI$14:AI$21)*Assumptions!$B$38)+(Forecast!AI53*Assumptions!$B$39))*Assumptions!$B$35</f>
        <v>#REF!</v>
      </c>
      <c r="AI47" s="14" t="e">
        <f ca="1">((Forecast!AJ8*Assumptions!$B$36)-(Forecast!#REF!*Assumptions!$B$37)-(SUMIF(Forecast!$A$14:$AO$21,"G",Forecast!AJ$14:AJ$21)*Assumptions!$B$38)+(Forecast!AJ53*Assumptions!$B$39))*Assumptions!$B$35</f>
        <v>#REF!</v>
      </c>
      <c r="AJ47" s="14" t="e">
        <f ca="1">((Forecast!AK8*Assumptions!$B$36)-(Forecast!#REF!*Assumptions!$B$37)-(SUMIF(Forecast!$A$14:$AO$21,"G",Forecast!AK$14:AK$21)*Assumptions!$B$38)+(Forecast!AK53*Assumptions!$B$39))*Assumptions!$B$35</f>
        <v>#REF!</v>
      </c>
      <c r="AK47" s="14" t="e">
        <f ca="1">((Forecast!AL8*Assumptions!$B$36)-(Forecast!#REF!*Assumptions!$B$37)-(SUMIF(Forecast!$A$14:$AO$21,"G",Forecast!AL$14:AL$21)*Assumptions!$B$38)+(Forecast!AL53*Assumptions!$B$39))*Assumptions!$B$35</f>
        <v>#REF!</v>
      </c>
      <c r="AL47" s="14" t="e">
        <f ca="1">((Forecast!AM8*Assumptions!$B$36)-(Forecast!#REF!*Assumptions!$B$37)-(SUMIF(Forecast!$A$14:$AO$21,"G",Forecast!AM$14:AM$21)*Assumptions!$B$38)+(Forecast!AM53*Assumptions!$B$39))*Assumptions!$B$35</f>
        <v>#REF!</v>
      </c>
      <c r="AM47" s="14" t="e">
        <f ca="1">((Forecast!AN8*Assumptions!$B$36)-(Forecast!#REF!*Assumptions!$B$37)-(SUMIF(Forecast!$A$14:$AO$21,"G",Forecast!AN$14:AN$21)*Assumptions!$B$38)+(Forecast!AN53*Assumptions!$B$39))*Assumptions!$B$35</f>
        <v>#REF!</v>
      </c>
    </row>
    <row r="48" spans="1:39" s="14" customFormat="1" ht="15" hidden="1" customHeight="1" x14ac:dyDescent="0.2">
      <c r="B48" s="56" t="s">
        <v>151</v>
      </c>
      <c r="C48" s="14">
        <f>-Assumptions!$B$26</f>
        <v>0</v>
      </c>
      <c r="D48" s="14" t="e">
        <f ca="1">Forecast!C28</f>
        <v>#REF!</v>
      </c>
      <c r="E48" s="14" t="e">
        <f ca="1">Forecast!D27</f>
        <v>#REF!</v>
      </c>
      <c r="F48" s="14" t="e">
        <f ca="1">Forecast!E28</f>
        <v>#REF!</v>
      </c>
      <c r="G48" s="14" t="e">
        <f ca="1">Forecast!F28</f>
        <v>#REF!</v>
      </c>
      <c r="H48" s="14" t="e">
        <f ca="1">Forecast!G28</f>
        <v>#REF!</v>
      </c>
      <c r="I48" s="14" t="e">
        <f ca="1">Forecast!H28</f>
        <v>#REF!</v>
      </c>
      <c r="J48" s="14" t="e">
        <f ca="1">Forecast!I28</f>
        <v>#REF!</v>
      </c>
      <c r="K48" s="14" t="e">
        <f ca="1">Forecast!J28</f>
        <v>#REF!</v>
      </c>
      <c r="L48" s="14" t="e">
        <f ca="1">Forecast!K28</f>
        <v>#REF!</v>
      </c>
      <c r="M48" s="14" t="e">
        <f ca="1">Forecast!L28</f>
        <v>#REF!</v>
      </c>
      <c r="N48" s="14" t="e">
        <f ca="1">Forecast!M28</f>
        <v>#REF!</v>
      </c>
      <c r="O48" s="14" t="e">
        <f ca="1">Forecast!N28</f>
        <v>#REF!</v>
      </c>
      <c r="P48" s="14" t="e">
        <f ca="1">Forecast!P28</f>
        <v>#REF!</v>
      </c>
      <c r="Q48" s="14" t="e">
        <f ca="1">Forecast!Q28</f>
        <v>#REF!</v>
      </c>
      <c r="R48" s="14" t="e">
        <f ca="1">Forecast!R28</f>
        <v>#REF!</v>
      </c>
      <c r="S48" s="14" t="e">
        <f ca="1">Forecast!S28</f>
        <v>#REF!</v>
      </c>
      <c r="T48" s="14" t="e">
        <f ca="1">Forecast!T28</f>
        <v>#REF!</v>
      </c>
      <c r="U48" s="14" t="e">
        <f ca="1">Forecast!U28</f>
        <v>#REF!</v>
      </c>
      <c r="V48" s="14" t="e">
        <f ca="1">Forecast!V28</f>
        <v>#REF!</v>
      </c>
      <c r="W48" s="14" t="e">
        <f ca="1">Forecast!W28</f>
        <v>#REF!</v>
      </c>
      <c r="X48" s="14" t="e">
        <f ca="1">Forecast!X28</f>
        <v>#REF!</v>
      </c>
      <c r="Y48" s="14" t="e">
        <f ca="1">Forecast!Y28</f>
        <v>#REF!</v>
      </c>
      <c r="Z48" s="14" t="e">
        <f ca="1">Forecast!Z28</f>
        <v>#REF!</v>
      </c>
      <c r="AA48" s="14" t="e">
        <f ca="1">Forecast!AA28</f>
        <v>#REF!</v>
      </c>
      <c r="AB48" s="14" t="e">
        <f ca="1">Forecast!AC28</f>
        <v>#REF!</v>
      </c>
      <c r="AC48" s="14" t="e">
        <f ca="1">Forecast!AD28</f>
        <v>#REF!</v>
      </c>
      <c r="AD48" s="14" t="e">
        <f ca="1">Forecast!AE28</f>
        <v>#REF!</v>
      </c>
      <c r="AE48" s="14" t="e">
        <f ca="1">Forecast!AF28</f>
        <v>#REF!</v>
      </c>
      <c r="AF48" s="14" t="e">
        <f ca="1">Forecast!AG28</f>
        <v>#REF!</v>
      </c>
      <c r="AG48" s="14" t="e">
        <f ca="1">Forecast!AH28</f>
        <v>#REF!</v>
      </c>
      <c r="AH48" s="14" t="e">
        <f ca="1">Forecast!AI28</f>
        <v>#REF!</v>
      </c>
      <c r="AI48" s="14" t="e">
        <f ca="1">Forecast!AJ28</f>
        <v>#REF!</v>
      </c>
      <c r="AJ48" s="14" t="e">
        <f ca="1">Forecast!AK28</f>
        <v>#REF!</v>
      </c>
      <c r="AK48" s="14" t="e">
        <f ca="1">Forecast!AL28</f>
        <v>#REF!</v>
      </c>
      <c r="AL48" s="14" t="e">
        <f ca="1">Forecast!AM28</f>
        <v>#REF!</v>
      </c>
      <c r="AM48" s="14" t="e">
        <f ca="1">Forecast!AN28</f>
        <v>#REF!</v>
      </c>
    </row>
    <row r="49" spans="8:39" ht="15" customHeight="1" x14ac:dyDescent="0.2">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row>
    <row r="50" spans="8:39" ht="15" customHeight="1" x14ac:dyDescent="0.2">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row>
  </sheetData>
  <phoneticPr fontId="5" type="noConversion"/>
  <pageMargins left="0.55118110236220474" right="0.55118110236220474" top="0.59055118110236227" bottom="0.59055118110236227" header="0.39370078740157483" footer="0.39370078740157483"/>
  <pageSetup paperSize="9" scale="65" fitToWidth="3" orientation="landscape" r:id="rId1"/>
  <headerFooter alignWithMargins="0">
    <oddFooter>&amp;C&amp;9Page &amp;P of &amp;N</oddFooter>
  </headerFooter>
  <colBreaks count="2" manualBreakCount="2">
    <brk id="15" max="1048575" man="1"/>
    <brk id="27"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38"/>
  <sheetViews>
    <sheetView zoomScale="95" workbookViewId="0">
      <selection activeCell="A2" sqref="A2"/>
    </sheetView>
  </sheetViews>
  <sheetFormatPr defaultRowHeight="15" customHeight="1" x14ac:dyDescent="0.2"/>
  <cols>
    <col min="1" max="1" width="15.7109375" style="61" customWidth="1"/>
    <col min="2" max="30" width="15.7109375" style="60" customWidth="1"/>
    <col min="31" max="16384" width="9.140625" style="60"/>
  </cols>
  <sheetData>
    <row r="1" spans="1:2" ht="15.75" x14ac:dyDescent="0.25">
      <c r="A1" s="24" t="s">
        <v>30</v>
      </c>
    </row>
    <row r="2" spans="1:2" ht="15" customHeight="1" x14ac:dyDescent="0.2">
      <c r="A2" s="59" t="s">
        <v>27</v>
      </c>
      <c r="B2" s="62" t="s">
        <v>55</v>
      </c>
    </row>
    <row r="3" spans="1:2" ht="15" customHeight="1" x14ac:dyDescent="0.2">
      <c r="A3" s="61">
        <f ca="1">IF(ISBLANK(Assumptions!$B$5)=TRUE,DATE(YEAR(TODAY()),MONTH(TODAY())+1,0),DATE(YEAR(Assumptions!$B$5),MONTH(Assumptions!$B$5)+1,0))</f>
        <v>45869</v>
      </c>
      <c r="B3" s="60">
        <v>1</v>
      </c>
    </row>
    <row r="4" spans="1:2" ht="15" customHeight="1" x14ac:dyDescent="0.2">
      <c r="A4" s="61">
        <f ca="1">DATE(YEAR(A3),MONTH(A3)+2,0)</f>
        <v>45900</v>
      </c>
      <c r="B4" s="60">
        <v>2</v>
      </c>
    </row>
    <row r="5" spans="1:2" ht="15" customHeight="1" x14ac:dyDescent="0.2">
      <c r="A5" s="61">
        <f t="shared" ref="A5:A38" ca="1" si="0">DATE(YEAR(A4),MONTH(A4)+2,0)</f>
        <v>45930</v>
      </c>
      <c r="B5" s="60">
        <v>3</v>
      </c>
    </row>
    <row r="6" spans="1:2" ht="15" customHeight="1" x14ac:dyDescent="0.2">
      <c r="A6" s="61">
        <f t="shared" ca="1" si="0"/>
        <v>45961</v>
      </c>
      <c r="B6" s="60">
        <v>4</v>
      </c>
    </row>
    <row r="7" spans="1:2" ht="15" customHeight="1" x14ac:dyDescent="0.2">
      <c r="A7" s="61">
        <f t="shared" ca="1" si="0"/>
        <v>45991</v>
      </c>
      <c r="B7" s="60">
        <v>5</v>
      </c>
    </row>
    <row r="8" spans="1:2" ht="15" customHeight="1" x14ac:dyDescent="0.2">
      <c r="A8" s="61">
        <f t="shared" ca="1" si="0"/>
        <v>46022</v>
      </c>
      <c r="B8" s="60">
        <v>6</v>
      </c>
    </row>
    <row r="9" spans="1:2" ht="15" customHeight="1" x14ac:dyDescent="0.2">
      <c r="A9" s="61">
        <f t="shared" ca="1" si="0"/>
        <v>46053</v>
      </c>
      <c r="B9" s="60">
        <v>7</v>
      </c>
    </row>
    <row r="10" spans="1:2" ht="15" customHeight="1" x14ac:dyDescent="0.2">
      <c r="A10" s="61">
        <f t="shared" ca="1" si="0"/>
        <v>46081</v>
      </c>
      <c r="B10" s="60">
        <v>8</v>
      </c>
    </row>
    <row r="11" spans="1:2" ht="15" customHeight="1" x14ac:dyDescent="0.2">
      <c r="A11" s="61">
        <f t="shared" ca="1" si="0"/>
        <v>46112</v>
      </c>
      <c r="B11" s="60">
        <v>9</v>
      </c>
    </row>
    <row r="12" spans="1:2" ht="15" customHeight="1" x14ac:dyDescent="0.2">
      <c r="A12" s="61">
        <f t="shared" ca="1" si="0"/>
        <v>46142</v>
      </c>
      <c r="B12" s="60">
        <v>10</v>
      </c>
    </row>
    <row r="13" spans="1:2" ht="15" customHeight="1" x14ac:dyDescent="0.2">
      <c r="A13" s="61">
        <f t="shared" ca="1" si="0"/>
        <v>46173</v>
      </c>
      <c r="B13" s="60">
        <v>11</v>
      </c>
    </row>
    <row r="14" spans="1:2" ht="15" customHeight="1" x14ac:dyDescent="0.2">
      <c r="A14" s="61">
        <f t="shared" ca="1" si="0"/>
        <v>46203</v>
      </c>
      <c r="B14" s="60">
        <v>12</v>
      </c>
    </row>
    <row r="15" spans="1:2" ht="15" customHeight="1" x14ac:dyDescent="0.2">
      <c r="A15" s="61">
        <f t="shared" ca="1" si="0"/>
        <v>46234</v>
      </c>
      <c r="B15" s="60">
        <v>13</v>
      </c>
    </row>
    <row r="16" spans="1:2" ht="15" customHeight="1" x14ac:dyDescent="0.2">
      <c r="A16" s="61">
        <f t="shared" ca="1" si="0"/>
        <v>46265</v>
      </c>
      <c r="B16" s="60">
        <v>14</v>
      </c>
    </row>
    <row r="17" spans="1:2" ht="15" customHeight="1" x14ac:dyDescent="0.2">
      <c r="A17" s="61">
        <f t="shared" ca="1" si="0"/>
        <v>46295</v>
      </c>
      <c r="B17" s="60">
        <v>15</v>
      </c>
    </row>
    <row r="18" spans="1:2" ht="15" customHeight="1" x14ac:dyDescent="0.2">
      <c r="A18" s="61">
        <f t="shared" ca="1" si="0"/>
        <v>46326</v>
      </c>
      <c r="B18" s="60">
        <v>16</v>
      </c>
    </row>
    <row r="19" spans="1:2" ht="15" customHeight="1" x14ac:dyDescent="0.2">
      <c r="A19" s="61">
        <f t="shared" ca="1" si="0"/>
        <v>46356</v>
      </c>
      <c r="B19" s="60">
        <v>17</v>
      </c>
    </row>
    <row r="20" spans="1:2" ht="15" customHeight="1" x14ac:dyDescent="0.2">
      <c r="A20" s="61">
        <f t="shared" ca="1" si="0"/>
        <v>46387</v>
      </c>
      <c r="B20" s="60">
        <v>18</v>
      </c>
    </row>
    <row r="21" spans="1:2" ht="15" customHeight="1" x14ac:dyDescent="0.2">
      <c r="A21" s="61">
        <f t="shared" ca="1" si="0"/>
        <v>46418</v>
      </c>
      <c r="B21" s="60">
        <v>19</v>
      </c>
    </row>
    <row r="22" spans="1:2" ht="15" customHeight="1" x14ac:dyDescent="0.2">
      <c r="A22" s="61">
        <f t="shared" ca="1" si="0"/>
        <v>46446</v>
      </c>
      <c r="B22" s="60">
        <v>20</v>
      </c>
    </row>
    <row r="23" spans="1:2" ht="15" customHeight="1" x14ac:dyDescent="0.2">
      <c r="A23" s="61">
        <f t="shared" ca="1" si="0"/>
        <v>46477</v>
      </c>
      <c r="B23" s="60">
        <v>21</v>
      </c>
    </row>
    <row r="24" spans="1:2" ht="15" customHeight="1" x14ac:dyDescent="0.2">
      <c r="A24" s="61">
        <f t="shared" ca="1" si="0"/>
        <v>46507</v>
      </c>
      <c r="B24" s="60">
        <v>22</v>
      </c>
    </row>
    <row r="25" spans="1:2" ht="15" customHeight="1" x14ac:dyDescent="0.2">
      <c r="A25" s="61">
        <f t="shared" ca="1" si="0"/>
        <v>46538</v>
      </c>
      <c r="B25" s="60">
        <v>23</v>
      </c>
    </row>
    <row r="26" spans="1:2" ht="15" customHeight="1" x14ac:dyDescent="0.2">
      <c r="A26" s="61">
        <f t="shared" ca="1" si="0"/>
        <v>46568</v>
      </c>
      <c r="B26" s="60">
        <v>24</v>
      </c>
    </row>
    <row r="27" spans="1:2" ht="15" customHeight="1" x14ac:dyDescent="0.2">
      <c r="A27" s="61">
        <f t="shared" ca="1" si="0"/>
        <v>46599</v>
      </c>
      <c r="B27" s="60">
        <v>25</v>
      </c>
    </row>
    <row r="28" spans="1:2" ht="15" customHeight="1" x14ac:dyDescent="0.2">
      <c r="A28" s="61">
        <f t="shared" ca="1" si="0"/>
        <v>46630</v>
      </c>
      <c r="B28" s="60">
        <v>26</v>
      </c>
    </row>
    <row r="29" spans="1:2" ht="15" customHeight="1" x14ac:dyDescent="0.2">
      <c r="A29" s="61">
        <f t="shared" ca="1" si="0"/>
        <v>46660</v>
      </c>
      <c r="B29" s="60">
        <v>27</v>
      </c>
    </row>
    <row r="30" spans="1:2" ht="15" customHeight="1" x14ac:dyDescent="0.2">
      <c r="A30" s="61">
        <f t="shared" ca="1" si="0"/>
        <v>46691</v>
      </c>
      <c r="B30" s="60">
        <v>28</v>
      </c>
    </row>
    <row r="31" spans="1:2" ht="15" customHeight="1" x14ac:dyDescent="0.2">
      <c r="A31" s="61">
        <f t="shared" ca="1" si="0"/>
        <v>46721</v>
      </c>
      <c r="B31" s="60">
        <v>29</v>
      </c>
    </row>
    <row r="32" spans="1:2" ht="15" customHeight="1" x14ac:dyDescent="0.2">
      <c r="A32" s="61">
        <f t="shared" ca="1" si="0"/>
        <v>46752</v>
      </c>
      <c r="B32" s="60">
        <v>30</v>
      </c>
    </row>
    <row r="33" spans="1:2" ht="15" customHeight="1" x14ac:dyDescent="0.2">
      <c r="A33" s="61">
        <f t="shared" ca="1" si="0"/>
        <v>46783</v>
      </c>
      <c r="B33" s="60">
        <v>31</v>
      </c>
    </row>
    <row r="34" spans="1:2" ht="15" customHeight="1" x14ac:dyDescent="0.2">
      <c r="A34" s="61">
        <f t="shared" ca="1" si="0"/>
        <v>46812</v>
      </c>
      <c r="B34" s="60">
        <v>32</v>
      </c>
    </row>
    <row r="35" spans="1:2" ht="15" customHeight="1" x14ac:dyDescent="0.2">
      <c r="A35" s="61">
        <f t="shared" ca="1" si="0"/>
        <v>46843</v>
      </c>
      <c r="B35" s="60">
        <v>33</v>
      </c>
    </row>
    <row r="36" spans="1:2" ht="15" customHeight="1" x14ac:dyDescent="0.2">
      <c r="A36" s="61">
        <f t="shared" ca="1" si="0"/>
        <v>46873</v>
      </c>
      <c r="B36" s="60">
        <v>34</v>
      </c>
    </row>
    <row r="37" spans="1:2" ht="15" customHeight="1" x14ac:dyDescent="0.2">
      <c r="A37" s="61">
        <f t="shared" ca="1" si="0"/>
        <v>46904</v>
      </c>
      <c r="B37" s="60">
        <v>35</v>
      </c>
    </row>
    <row r="38" spans="1:2" ht="15" customHeight="1" x14ac:dyDescent="0.2">
      <c r="A38" s="61">
        <f t="shared" ca="1" si="0"/>
        <v>46934</v>
      </c>
      <c r="B38" s="60">
        <v>36</v>
      </c>
    </row>
  </sheetData>
  <phoneticPr fontId="5"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9"/>
  <sheetViews>
    <sheetView zoomScale="95" workbookViewId="0">
      <pane ySplit="3" topLeftCell="A4" activePane="bottomLeft" state="frozen"/>
      <selection pane="bottomLeft" activeCell="B34" sqref="B34"/>
    </sheetView>
  </sheetViews>
  <sheetFormatPr defaultRowHeight="15" customHeight="1" x14ac:dyDescent="0.2"/>
  <cols>
    <col min="1" max="1" width="45.42578125" style="9" bestFit="1" customWidth="1"/>
    <col min="2" max="2" width="15.7109375" style="23" customWidth="1"/>
    <col min="3" max="8" width="15.7109375" style="33" customWidth="1"/>
    <col min="9" max="14" width="15.7109375" style="9" customWidth="1"/>
    <col min="15" max="16384" width="9.140625" style="9"/>
  </cols>
  <sheetData>
    <row r="1" spans="1:8" ht="15.75" x14ac:dyDescent="0.25">
      <c r="A1" s="5" t="str">
        <f>$B$4</f>
        <v>TALK Toastmasters Manurewa</v>
      </c>
      <c r="B1" s="18"/>
    </row>
    <row r="2" spans="1:8" ht="15" customHeight="1" x14ac:dyDescent="0.2">
      <c r="A2" s="8" t="s">
        <v>51</v>
      </c>
      <c r="B2" s="18"/>
    </row>
    <row r="3" spans="1:8" ht="15" customHeight="1" x14ac:dyDescent="0.2">
      <c r="A3" s="38" t="s">
        <v>133</v>
      </c>
    </row>
    <row r="4" spans="1:8" ht="15" customHeight="1" x14ac:dyDescent="0.2">
      <c r="A4" s="37" t="s">
        <v>50</v>
      </c>
      <c r="B4" s="183" t="s">
        <v>170</v>
      </c>
      <c r="C4" s="184"/>
      <c r="D4" s="185"/>
    </row>
    <row r="5" spans="1:8" s="37" customFormat="1" ht="15" customHeight="1" x14ac:dyDescent="0.2">
      <c r="A5" s="37" t="s">
        <v>25</v>
      </c>
      <c r="B5" s="43">
        <v>45839</v>
      </c>
      <c r="C5" s="39"/>
      <c r="D5" s="39"/>
      <c r="E5" s="39"/>
      <c r="F5" s="40"/>
      <c r="G5" s="40"/>
      <c r="H5" s="40"/>
    </row>
    <row r="6" spans="1:8" s="37" customFormat="1" ht="15" customHeight="1" x14ac:dyDescent="0.2">
      <c r="A6" s="37" t="s">
        <v>0</v>
      </c>
      <c r="B6" s="18"/>
      <c r="C6" s="39"/>
      <c r="D6" s="39"/>
      <c r="E6" s="39"/>
      <c r="F6" s="40"/>
      <c r="G6" s="40"/>
      <c r="H6" s="40"/>
    </row>
    <row r="7" spans="1:8" ht="15" customHeight="1" x14ac:dyDescent="0.2">
      <c r="A7" s="9" t="s">
        <v>135</v>
      </c>
      <c r="C7" s="32"/>
    </row>
    <row r="8" spans="1:8" ht="15" customHeight="1" x14ac:dyDescent="0.2">
      <c r="A8" s="37" t="s">
        <v>2</v>
      </c>
      <c r="B8" s="18"/>
    </row>
    <row r="9" spans="1:8" ht="15" customHeight="1" x14ac:dyDescent="0.2">
      <c r="A9" s="9" t="s">
        <v>136</v>
      </c>
      <c r="C9" s="34"/>
      <c r="D9" s="34"/>
      <c r="E9" s="34"/>
    </row>
    <row r="10" spans="1:8" ht="15" customHeight="1" x14ac:dyDescent="0.2">
      <c r="A10" s="37" t="s">
        <v>32</v>
      </c>
      <c r="B10" s="18"/>
    </row>
    <row r="11" spans="1:8" ht="15" customHeight="1" x14ac:dyDescent="0.2">
      <c r="A11" s="9" t="s">
        <v>137</v>
      </c>
      <c r="C11" s="32"/>
    </row>
    <row r="12" spans="1:8" ht="15" customHeight="1" x14ac:dyDescent="0.2">
      <c r="A12" s="37" t="s">
        <v>6</v>
      </c>
      <c r="B12" s="18"/>
    </row>
    <row r="13" spans="1:8" ht="15" customHeight="1" x14ac:dyDescent="0.2">
      <c r="A13" s="9" t="s">
        <v>8</v>
      </c>
      <c r="B13" s="35">
        <v>0</v>
      </c>
      <c r="D13" s="32"/>
      <c r="E13" s="32"/>
    </row>
    <row r="14" spans="1:8" ht="15" customHeight="1" x14ac:dyDescent="0.2">
      <c r="A14" s="9" t="s">
        <v>148</v>
      </c>
      <c r="B14" s="35">
        <v>0</v>
      </c>
      <c r="D14" s="32"/>
      <c r="E14" s="32"/>
    </row>
    <row r="15" spans="1:8" ht="15" customHeight="1" x14ac:dyDescent="0.2">
      <c r="A15" s="9" t="s">
        <v>149</v>
      </c>
      <c r="B15" s="35">
        <v>0</v>
      </c>
      <c r="D15" s="32"/>
      <c r="E15" s="32"/>
    </row>
    <row r="16" spans="1:8" ht="15" customHeight="1" x14ac:dyDescent="0.2">
      <c r="A16" s="37" t="s">
        <v>18</v>
      </c>
      <c r="C16" s="32"/>
      <c r="D16" s="32"/>
      <c r="E16" s="32"/>
    </row>
    <row r="17" spans="1:5" ht="15" customHeight="1" x14ac:dyDescent="0.2">
      <c r="A17" s="9" t="s">
        <v>33</v>
      </c>
      <c r="B17" s="35">
        <v>0</v>
      </c>
      <c r="C17" s="32" t="str">
        <f>IF(SUM(B17:B26)&lt;&gt;0,"The total of the start-up balances should be nil!","")</f>
        <v/>
      </c>
      <c r="D17" s="32"/>
      <c r="E17" s="32"/>
    </row>
    <row r="18" spans="1:5" ht="15" customHeight="1" x14ac:dyDescent="0.2">
      <c r="A18" s="9" t="s">
        <v>5</v>
      </c>
      <c r="B18" s="35">
        <v>0</v>
      </c>
      <c r="C18" s="32"/>
      <c r="D18" s="32"/>
      <c r="E18" s="32"/>
    </row>
    <row r="19" spans="1:5" ht="15" customHeight="1" x14ac:dyDescent="0.2">
      <c r="A19" s="9" t="s">
        <v>60</v>
      </c>
      <c r="B19" s="35">
        <v>0</v>
      </c>
      <c r="C19" s="32"/>
      <c r="D19" s="32"/>
      <c r="E19" s="32"/>
    </row>
    <row r="20" spans="1:5" ht="15" customHeight="1" x14ac:dyDescent="0.2">
      <c r="A20" s="9" t="s">
        <v>13</v>
      </c>
      <c r="B20" s="35">
        <v>0</v>
      </c>
      <c r="C20" s="32"/>
      <c r="D20" s="32"/>
      <c r="E20" s="32"/>
    </row>
    <row r="21" spans="1:5" ht="15" customHeight="1" x14ac:dyDescent="0.2">
      <c r="A21" s="9" t="s">
        <v>34</v>
      </c>
      <c r="B21" s="35">
        <v>0</v>
      </c>
      <c r="C21" s="32"/>
      <c r="D21" s="32"/>
      <c r="E21" s="32"/>
    </row>
    <row r="22" spans="1:5" ht="15" customHeight="1" x14ac:dyDescent="0.2">
      <c r="A22" s="9" t="s">
        <v>15</v>
      </c>
      <c r="B22" s="35">
        <v>0</v>
      </c>
      <c r="C22" s="32"/>
      <c r="D22" s="32"/>
      <c r="E22" s="32"/>
    </row>
    <row r="23" spans="1:5" ht="15" customHeight="1" x14ac:dyDescent="0.2">
      <c r="A23" s="9" t="s">
        <v>19</v>
      </c>
      <c r="B23" s="35">
        <v>0</v>
      </c>
      <c r="C23" s="32" t="str">
        <f>IF($B$23&gt;0,"The long term loans start-up balance should be entered as a negative value!","")</f>
        <v/>
      </c>
      <c r="D23" s="32"/>
      <c r="E23" s="32"/>
    </row>
    <row r="24" spans="1:5" ht="15" customHeight="1" x14ac:dyDescent="0.2">
      <c r="A24" s="9" t="s">
        <v>61</v>
      </c>
      <c r="B24" s="35">
        <v>0</v>
      </c>
      <c r="C24" s="32"/>
      <c r="D24" s="32"/>
      <c r="E24" s="32"/>
    </row>
    <row r="25" spans="1:5" ht="15" customHeight="1" x14ac:dyDescent="0.2">
      <c r="A25" s="9" t="s">
        <v>147</v>
      </c>
      <c r="B25" s="35">
        <v>0</v>
      </c>
      <c r="C25" s="32"/>
      <c r="D25" s="32"/>
      <c r="E25" s="32"/>
    </row>
    <row r="26" spans="1:5" ht="15" customHeight="1" x14ac:dyDescent="0.2">
      <c r="A26" s="9" t="s">
        <v>28</v>
      </c>
      <c r="B26" s="35">
        <v>0</v>
      </c>
      <c r="C26" s="32"/>
      <c r="D26" s="32"/>
      <c r="E26" s="32"/>
    </row>
    <row r="27" spans="1:5" ht="15" customHeight="1" x14ac:dyDescent="0.2">
      <c r="A27" s="37" t="s">
        <v>35</v>
      </c>
      <c r="B27" s="32"/>
      <c r="C27" s="32"/>
      <c r="D27" s="32"/>
      <c r="E27" s="32"/>
    </row>
    <row r="28" spans="1:5" ht="15" customHeight="1" x14ac:dyDescent="0.2">
      <c r="A28" s="9" t="s">
        <v>10</v>
      </c>
      <c r="B28" s="36">
        <v>0</v>
      </c>
      <c r="C28" s="32"/>
      <c r="D28" s="32"/>
      <c r="E28" s="32"/>
    </row>
    <row r="29" spans="1:5" ht="15" customHeight="1" x14ac:dyDescent="0.2">
      <c r="A29" s="9" t="s">
        <v>20</v>
      </c>
      <c r="B29" s="41">
        <f>8</f>
        <v>8</v>
      </c>
      <c r="C29" s="32"/>
      <c r="D29" s="32"/>
      <c r="E29" s="32"/>
    </row>
    <row r="30" spans="1:5" ht="15" customHeight="1" x14ac:dyDescent="0.2">
      <c r="A30" s="9" t="s">
        <v>21</v>
      </c>
      <c r="B30" s="42" t="s">
        <v>22</v>
      </c>
      <c r="C30" s="32"/>
      <c r="D30" s="32"/>
      <c r="E30" s="32"/>
    </row>
    <row r="31" spans="1:5" ht="15" customHeight="1" x14ac:dyDescent="0.2">
      <c r="A31" s="37" t="s">
        <v>17</v>
      </c>
      <c r="B31" s="18"/>
    </row>
    <row r="32" spans="1:5" ht="15" customHeight="1" x14ac:dyDescent="0.2">
      <c r="A32" s="9" t="s">
        <v>9</v>
      </c>
      <c r="B32" s="36">
        <v>0</v>
      </c>
    </row>
    <row r="33" spans="1:2" ht="15" customHeight="1" x14ac:dyDescent="0.2">
      <c r="A33" s="8" t="s">
        <v>140</v>
      </c>
    </row>
    <row r="34" spans="1:2" ht="15" customHeight="1" x14ac:dyDescent="0.2">
      <c r="A34" s="37" t="s">
        <v>141</v>
      </c>
      <c r="B34" s="18"/>
    </row>
    <row r="35" spans="1:2" ht="15" customHeight="1" x14ac:dyDescent="0.2">
      <c r="A35" s="9" t="s">
        <v>142</v>
      </c>
      <c r="B35" s="36">
        <v>0</v>
      </c>
    </row>
    <row r="36" spans="1:2" ht="15" customHeight="1" x14ac:dyDescent="0.2">
      <c r="A36" s="9" t="s">
        <v>143</v>
      </c>
      <c r="B36" s="36">
        <v>0</v>
      </c>
    </row>
    <row r="37" spans="1:2" ht="15" customHeight="1" x14ac:dyDescent="0.2">
      <c r="A37" s="9" t="s">
        <v>144</v>
      </c>
      <c r="B37" s="36">
        <v>0</v>
      </c>
    </row>
    <row r="38" spans="1:2" ht="15" customHeight="1" x14ac:dyDescent="0.2">
      <c r="A38" s="9" t="s">
        <v>145</v>
      </c>
      <c r="B38" s="36">
        <v>0</v>
      </c>
    </row>
    <row r="39" spans="1:2" ht="15" customHeight="1" x14ac:dyDescent="0.2">
      <c r="A39" s="9" t="s">
        <v>146</v>
      </c>
      <c r="B39" s="36">
        <v>0</v>
      </c>
    </row>
  </sheetData>
  <mergeCells count="1">
    <mergeCell ref="B4:D4"/>
  </mergeCells>
  <phoneticPr fontId="5" type="noConversion"/>
  <conditionalFormatting sqref="B17:B26">
    <cfRule type="expression" dxfId="1" priority="1" stopIfTrue="1">
      <formula>SUM($B$17:$B$26)&lt;&gt;0</formula>
    </cfRule>
  </conditionalFormatting>
  <conditionalFormatting sqref="B23">
    <cfRule type="cellIs" dxfId="0" priority="2" stopIfTrue="1" operator="greaterThan">
      <formula>0</formula>
    </cfRule>
  </conditionalFormatting>
  <dataValidations count="7">
    <dataValidation type="list" allowBlank="1" showInputMessage="1" showErrorMessage="1" errorTitle="Invalid Data" error="Select a valid item from the list box." sqref="B30" xr:uid="{00000000-0002-0000-0100-000000000000}">
      <formula1>"Yes,No"</formula1>
    </dataValidation>
    <dataValidation type="whole" allowBlank="1" showInputMessage="1" showErrorMessage="1" errorTitle="Invalid Repayment Term" error="The repayment term must be greater than 1 year and less than 10 years. If the forecast includes no long term loans, leave the default repayment term unchanged - it will have no effect on the cash flow calculations." sqref="B29" xr:uid="{00000000-0002-0000-0100-000001000000}">
      <formula1>1</formula1>
      <formula2>10</formula2>
    </dataValidation>
    <dataValidation operator="lessThan" allowBlank="1" showInputMessage="1" showErrorMessage="1" errorTitle="Invalid Input" error="The estimated Creditors balances should be entered as a negative value." sqref="D15:E15 B15" xr:uid="{00000000-0002-0000-0100-000002000000}"/>
    <dataValidation type="decimal" allowBlank="1" showInputMessage="1" showErrorMessage="1" errorTitle="Invalid Input" error="Please enter the value as a percentage - should therefore be a value between 0 and 1." sqref="C9:E9" xr:uid="{00000000-0002-0000-0100-000003000000}">
      <formula1>0</formula1>
      <formula2>1</formula2>
    </dataValidation>
    <dataValidation type="date" operator="greaterThan" allowBlank="1" showInputMessage="1" showErrorMessage="1" errorTitle="Invalid Date" error="The start date should be entered in accordance with the regional date settings that are specified in the System Control Panel." sqref="B5" xr:uid="{00000000-0002-0000-0100-000004000000}">
      <formula1>36526</formula1>
    </dataValidation>
    <dataValidation type="decimal" allowBlank="1" showInputMessage="1" showErrorMessage="1" errorTitle="Invalid Data" error="Enter a percentage between 0% and 100%." sqref="B28 B32" xr:uid="{00000000-0002-0000-0100-000005000000}">
      <formula1>0</formula1>
      <formula2>1</formula2>
    </dataValidation>
    <dataValidation type="decimal" allowBlank="1" showInputMessage="1" showErrorMessage="1" errorTitle="Invalid Data" error="Enter a percentage that is between 0% and 100%." sqref="B35:B39" xr:uid="{00000000-0002-0000-0100-000006000000}">
      <formula1>0</formula1>
      <formula2>1</formula2>
    </dataValidation>
  </dataValidations>
  <pageMargins left="0.55118110236220474" right="0.55118110236220474" top="0.59055118110236227" bottom="0.59055118110236227" header="0.39370078740157483" footer="0.39370078740157483"/>
  <pageSetup paperSize="9" orientation="portrait" r:id="rId1"/>
  <headerFooter alignWithMargins="0">
    <oddFooter>&amp;C&amp;9Page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E5C1F-FA3A-4179-AEFE-3C8EA35D9D86}">
  <dimension ref="A2:AA19"/>
  <sheetViews>
    <sheetView workbookViewId="0">
      <selection activeCell="E5" sqref="E5"/>
    </sheetView>
  </sheetViews>
  <sheetFormatPr defaultRowHeight="12.75" x14ac:dyDescent="0.2"/>
  <cols>
    <col min="1" max="1" width="3.42578125" customWidth="1"/>
    <col min="3" max="3" width="23.28515625" bestFit="1" customWidth="1"/>
    <col min="5" max="5" width="25.5703125" bestFit="1" customWidth="1"/>
    <col min="6" max="6" width="22.7109375" bestFit="1" customWidth="1"/>
    <col min="7" max="7" width="19.5703125" bestFit="1" customWidth="1"/>
    <col min="9" max="9" width="18.140625" bestFit="1" customWidth="1"/>
  </cols>
  <sheetData>
    <row r="2" spans="1:27" s="88" customFormat="1" x14ac:dyDescent="0.2">
      <c r="B2" s="88" t="s">
        <v>179</v>
      </c>
      <c r="C2" s="88" t="s">
        <v>180</v>
      </c>
      <c r="D2" s="88" t="s">
        <v>181</v>
      </c>
      <c r="E2" s="88" t="s">
        <v>182</v>
      </c>
      <c r="F2" s="88" t="s">
        <v>183</v>
      </c>
      <c r="G2" s="88" t="s">
        <v>184</v>
      </c>
      <c r="H2" s="88" t="s">
        <v>185</v>
      </c>
      <c r="I2" s="88" t="s">
        <v>186</v>
      </c>
      <c r="J2" s="88" t="s">
        <v>187</v>
      </c>
      <c r="K2" s="88" t="s">
        <v>188</v>
      </c>
      <c r="L2" s="88" t="s">
        <v>189</v>
      </c>
      <c r="M2" s="88" t="s">
        <v>190</v>
      </c>
      <c r="N2" s="88" t="s">
        <v>191</v>
      </c>
      <c r="O2" s="88" t="s">
        <v>192</v>
      </c>
      <c r="P2" s="88" t="s">
        <v>193</v>
      </c>
      <c r="Q2" s="88" t="s">
        <v>194</v>
      </c>
      <c r="R2" s="88" t="s">
        <v>195</v>
      </c>
      <c r="S2" s="88" t="s">
        <v>196</v>
      </c>
      <c r="T2" s="88" t="s">
        <v>197</v>
      </c>
      <c r="U2" s="88" t="s">
        <v>198</v>
      </c>
      <c r="V2" s="88" t="s">
        <v>199</v>
      </c>
      <c r="W2" s="88" t="s">
        <v>200</v>
      </c>
      <c r="X2" s="88" t="s">
        <v>201</v>
      </c>
      <c r="Y2" s="88" t="s">
        <v>202</v>
      </c>
      <c r="Z2" s="88" t="s">
        <v>203</v>
      </c>
      <c r="AA2" s="88" t="s">
        <v>204</v>
      </c>
    </row>
    <row r="3" spans="1:27" s="160" customFormat="1" x14ac:dyDescent="0.2">
      <c r="A3" s="160">
        <v>1</v>
      </c>
      <c r="B3" s="160" t="s">
        <v>205</v>
      </c>
      <c r="C3" s="160" t="s">
        <v>206</v>
      </c>
      <c r="E3" s="161"/>
      <c r="F3" s="160" t="s">
        <v>207</v>
      </c>
      <c r="G3" s="160" t="s">
        <v>208</v>
      </c>
      <c r="I3" s="160" t="s">
        <v>209</v>
      </c>
      <c r="J3" s="160" t="s">
        <v>210</v>
      </c>
      <c r="K3" s="160">
        <v>2105</v>
      </c>
      <c r="M3" s="160" t="s">
        <v>211</v>
      </c>
      <c r="Q3" s="160" t="s">
        <v>212</v>
      </c>
      <c r="S3" s="160" t="s">
        <v>213</v>
      </c>
      <c r="T3" s="160" t="s">
        <v>214</v>
      </c>
      <c r="U3" s="160" t="s">
        <v>215</v>
      </c>
      <c r="V3" s="162">
        <v>45664</v>
      </c>
      <c r="W3" s="162">
        <v>45664</v>
      </c>
      <c r="X3" s="160" t="s">
        <v>216</v>
      </c>
      <c r="AA3" s="160" t="s">
        <v>22</v>
      </c>
    </row>
    <row r="4" spans="1:27" x14ac:dyDescent="0.2">
      <c r="A4">
        <v>2</v>
      </c>
      <c r="B4" t="s">
        <v>217</v>
      </c>
      <c r="C4" t="s">
        <v>218</v>
      </c>
      <c r="D4" t="s">
        <v>219</v>
      </c>
      <c r="F4" t="s">
        <v>220</v>
      </c>
      <c r="G4" t="s">
        <v>221</v>
      </c>
      <c r="I4" t="s">
        <v>222</v>
      </c>
      <c r="J4" t="s">
        <v>210</v>
      </c>
      <c r="K4">
        <v>7173</v>
      </c>
      <c r="M4" t="s">
        <v>223</v>
      </c>
      <c r="Q4" t="s">
        <v>224</v>
      </c>
      <c r="S4" t="s">
        <v>213</v>
      </c>
      <c r="T4" t="s">
        <v>225</v>
      </c>
      <c r="U4" t="s">
        <v>215</v>
      </c>
      <c r="V4" s="86">
        <v>41649</v>
      </c>
      <c r="W4" s="86">
        <v>40545</v>
      </c>
      <c r="X4" t="s">
        <v>216</v>
      </c>
      <c r="Y4" t="s">
        <v>226</v>
      </c>
      <c r="AA4" t="s">
        <v>227</v>
      </c>
    </row>
    <row r="5" spans="1:27" x14ac:dyDescent="0.2">
      <c r="A5">
        <v>3</v>
      </c>
      <c r="B5" t="s">
        <v>228</v>
      </c>
      <c r="C5" t="s">
        <v>229</v>
      </c>
      <c r="D5" t="s">
        <v>219</v>
      </c>
      <c r="F5" t="s">
        <v>230</v>
      </c>
      <c r="G5" t="s">
        <v>231</v>
      </c>
      <c r="I5" t="s">
        <v>209</v>
      </c>
      <c r="J5" t="s">
        <v>210</v>
      </c>
      <c r="K5">
        <v>2025</v>
      </c>
      <c r="M5" t="s">
        <v>232</v>
      </c>
      <c r="O5" t="s">
        <v>213</v>
      </c>
      <c r="P5" s="87">
        <v>64092788564</v>
      </c>
      <c r="R5">
        <v>64</v>
      </c>
      <c r="S5" t="s">
        <v>213</v>
      </c>
      <c r="T5" t="s">
        <v>225</v>
      </c>
      <c r="U5" t="s">
        <v>215</v>
      </c>
      <c r="V5" s="86">
        <v>35440</v>
      </c>
      <c r="W5" s="86">
        <v>35440</v>
      </c>
      <c r="X5" t="s">
        <v>216</v>
      </c>
      <c r="AA5" t="s">
        <v>227</v>
      </c>
    </row>
    <row r="6" spans="1:27" x14ac:dyDescent="0.2">
      <c r="A6">
        <v>4</v>
      </c>
      <c r="B6" t="s">
        <v>233</v>
      </c>
      <c r="C6" t="s">
        <v>234</v>
      </c>
      <c r="D6" t="s">
        <v>235</v>
      </c>
      <c r="F6" t="s">
        <v>236</v>
      </c>
      <c r="G6" t="s">
        <v>237</v>
      </c>
      <c r="I6" t="s">
        <v>209</v>
      </c>
      <c r="J6" t="s">
        <v>210</v>
      </c>
      <c r="K6">
        <v>2019</v>
      </c>
      <c r="L6" t="s">
        <v>213</v>
      </c>
      <c r="M6" t="s">
        <v>238</v>
      </c>
      <c r="O6" t="s">
        <v>213</v>
      </c>
      <c r="P6">
        <v>64092635210</v>
      </c>
      <c r="Q6" s="87" t="s">
        <v>239</v>
      </c>
      <c r="S6" t="s">
        <v>213</v>
      </c>
      <c r="T6" t="s">
        <v>225</v>
      </c>
      <c r="U6" t="s">
        <v>215</v>
      </c>
      <c r="V6" s="86">
        <v>41645</v>
      </c>
      <c r="W6" s="86">
        <v>36165</v>
      </c>
      <c r="X6" t="s">
        <v>216</v>
      </c>
      <c r="AA6" t="s">
        <v>227</v>
      </c>
    </row>
    <row r="7" spans="1:27" x14ac:dyDescent="0.2">
      <c r="A7">
        <v>5</v>
      </c>
      <c r="B7" t="s">
        <v>240</v>
      </c>
      <c r="C7" t="s">
        <v>241</v>
      </c>
      <c r="D7" t="s">
        <v>242</v>
      </c>
      <c r="F7" t="s">
        <v>243</v>
      </c>
      <c r="G7" t="s">
        <v>244</v>
      </c>
      <c r="I7" t="s">
        <v>245</v>
      </c>
      <c r="J7" t="s">
        <v>210</v>
      </c>
      <c r="K7">
        <v>2112</v>
      </c>
      <c r="M7" t="s">
        <v>246</v>
      </c>
      <c r="Q7" t="s">
        <v>247</v>
      </c>
      <c r="T7" t="s">
        <v>225</v>
      </c>
      <c r="U7" t="s">
        <v>215</v>
      </c>
      <c r="V7" s="86">
        <v>42746</v>
      </c>
      <c r="W7" s="86">
        <v>42746</v>
      </c>
      <c r="X7" t="s">
        <v>216</v>
      </c>
      <c r="Y7" t="s">
        <v>248</v>
      </c>
      <c r="AA7" t="s">
        <v>227</v>
      </c>
    </row>
    <row r="8" spans="1:27" x14ac:dyDescent="0.2">
      <c r="A8">
        <v>6</v>
      </c>
      <c r="B8" t="s">
        <v>249</v>
      </c>
      <c r="C8" t="s">
        <v>250</v>
      </c>
      <c r="D8" t="s">
        <v>251</v>
      </c>
      <c r="F8" t="s">
        <v>252</v>
      </c>
      <c r="G8" t="s">
        <v>244</v>
      </c>
      <c r="I8" t="s">
        <v>209</v>
      </c>
      <c r="J8" t="s">
        <v>210</v>
      </c>
      <c r="K8">
        <v>2112</v>
      </c>
      <c r="L8" t="s">
        <v>213</v>
      </c>
      <c r="M8" t="s">
        <v>253</v>
      </c>
      <c r="N8" t="s">
        <v>254</v>
      </c>
      <c r="O8" t="s">
        <v>213</v>
      </c>
      <c r="Q8" t="s">
        <v>255</v>
      </c>
      <c r="S8" t="s">
        <v>213</v>
      </c>
      <c r="T8" t="s">
        <v>225</v>
      </c>
      <c r="U8" t="s">
        <v>215</v>
      </c>
      <c r="V8" s="86">
        <v>45295</v>
      </c>
      <c r="W8" s="86">
        <v>45295</v>
      </c>
      <c r="X8" t="s">
        <v>216</v>
      </c>
      <c r="Y8" t="s">
        <v>256</v>
      </c>
      <c r="AA8" t="s">
        <v>227</v>
      </c>
    </row>
    <row r="9" spans="1:27" x14ac:dyDescent="0.2">
      <c r="A9">
        <v>7</v>
      </c>
      <c r="B9" t="s">
        <v>257</v>
      </c>
      <c r="C9" t="s">
        <v>258</v>
      </c>
      <c r="D9" t="s">
        <v>259</v>
      </c>
      <c r="F9" t="s">
        <v>260</v>
      </c>
      <c r="G9" t="s">
        <v>261</v>
      </c>
      <c r="I9" t="s">
        <v>209</v>
      </c>
      <c r="J9" t="s">
        <v>210</v>
      </c>
      <c r="K9">
        <v>2110</v>
      </c>
      <c r="M9" t="s">
        <v>262</v>
      </c>
      <c r="O9" t="s">
        <v>213</v>
      </c>
      <c r="P9" t="s">
        <v>263</v>
      </c>
      <c r="Q9" t="s">
        <v>264</v>
      </c>
      <c r="S9" t="s">
        <v>213</v>
      </c>
      <c r="T9" t="s">
        <v>225</v>
      </c>
      <c r="U9" t="s">
        <v>215</v>
      </c>
      <c r="V9" s="86">
        <v>45300</v>
      </c>
      <c r="W9" s="86">
        <v>36895</v>
      </c>
      <c r="X9" t="s">
        <v>216</v>
      </c>
      <c r="Y9" t="s">
        <v>265</v>
      </c>
      <c r="AA9" t="s">
        <v>227</v>
      </c>
    </row>
    <row r="10" spans="1:27" x14ac:dyDescent="0.2">
      <c r="A10">
        <v>8</v>
      </c>
      <c r="B10" t="s">
        <v>266</v>
      </c>
      <c r="C10" t="s">
        <v>267</v>
      </c>
      <c r="D10" t="s">
        <v>268</v>
      </c>
      <c r="F10" t="s">
        <v>269</v>
      </c>
      <c r="G10" t="s">
        <v>244</v>
      </c>
      <c r="I10" t="s">
        <v>209</v>
      </c>
      <c r="J10" t="s">
        <v>210</v>
      </c>
      <c r="K10">
        <v>2112</v>
      </c>
      <c r="M10" t="s">
        <v>270</v>
      </c>
      <c r="O10" t="s">
        <v>213</v>
      </c>
      <c r="Q10" t="s">
        <v>271</v>
      </c>
      <c r="S10" t="s">
        <v>213</v>
      </c>
      <c r="T10" t="s">
        <v>225</v>
      </c>
      <c r="U10" t="s">
        <v>215</v>
      </c>
      <c r="V10" s="86">
        <v>43106</v>
      </c>
      <c r="W10" s="86">
        <v>43106</v>
      </c>
      <c r="X10" t="s">
        <v>216</v>
      </c>
      <c r="Y10" t="s">
        <v>272</v>
      </c>
      <c r="AA10" t="s">
        <v>227</v>
      </c>
    </row>
    <row r="11" spans="1:27" x14ac:dyDescent="0.2">
      <c r="A11">
        <v>9</v>
      </c>
      <c r="B11" t="s">
        <v>273</v>
      </c>
      <c r="C11" t="s">
        <v>274</v>
      </c>
      <c r="D11" t="s">
        <v>251</v>
      </c>
      <c r="F11" t="s">
        <v>275</v>
      </c>
      <c r="G11" t="s">
        <v>276</v>
      </c>
      <c r="I11" t="s">
        <v>209</v>
      </c>
      <c r="J11" t="s">
        <v>210</v>
      </c>
      <c r="K11">
        <v>2015</v>
      </c>
      <c r="L11" t="s">
        <v>213</v>
      </c>
      <c r="M11" t="s">
        <v>277</v>
      </c>
      <c r="S11" t="s">
        <v>213</v>
      </c>
      <c r="T11" t="s">
        <v>225</v>
      </c>
      <c r="U11" t="s">
        <v>215</v>
      </c>
      <c r="V11" s="86">
        <v>45300</v>
      </c>
      <c r="W11" s="86">
        <v>45300</v>
      </c>
      <c r="X11" t="s">
        <v>216</v>
      </c>
      <c r="Y11" t="s">
        <v>278</v>
      </c>
      <c r="AA11" t="s">
        <v>227</v>
      </c>
    </row>
    <row r="12" spans="1:27" x14ac:dyDescent="0.2">
      <c r="A12">
        <v>10</v>
      </c>
      <c r="B12" t="s">
        <v>279</v>
      </c>
      <c r="C12" t="s">
        <v>280</v>
      </c>
      <c r="D12" t="s">
        <v>281</v>
      </c>
      <c r="F12" t="s">
        <v>269</v>
      </c>
      <c r="G12" t="s">
        <v>244</v>
      </c>
      <c r="I12" t="s">
        <v>209</v>
      </c>
      <c r="J12" t="s">
        <v>210</v>
      </c>
      <c r="K12">
        <v>2112</v>
      </c>
      <c r="M12" t="s">
        <v>282</v>
      </c>
      <c r="O12" t="s">
        <v>213</v>
      </c>
      <c r="Q12" t="s">
        <v>283</v>
      </c>
      <c r="S12" t="s">
        <v>213</v>
      </c>
      <c r="T12" t="s">
        <v>225</v>
      </c>
      <c r="U12" t="s">
        <v>215</v>
      </c>
      <c r="V12" s="86">
        <v>42380</v>
      </c>
      <c r="W12" s="86">
        <v>36899</v>
      </c>
      <c r="X12" t="s">
        <v>216</v>
      </c>
      <c r="AA12" t="s">
        <v>227</v>
      </c>
    </row>
    <row r="13" spans="1:27" x14ac:dyDescent="0.2">
      <c r="A13">
        <v>11</v>
      </c>
      <c r="B13" t="s">
        <v>284</v>
      </c>
      <c r="C13" t="s">
        <v>285</v>
      </c>
      <c r="F13" t="s">
        <v>286</v>
      </c>
      <c r="G13" t="s">
        <v>244</v>
      </c>
      <c r="I13" t="s">
        <v>209</v>
      </c>
      <c r="J13" t="s">
        <v>210</v>
      </c>
      <c r="K13">
        <v>2112</v>
      </c>
      <c r="M13" t="s">
        <v>287</v>
      </c>
      <c r="Q13" t="s">
        <v>288</v>
      </c>
      <c r="T13" t="s">
        <v>225</v>
      </c>
      <c r="U13" t="s">
        <v>215</v>
      </c>
      <c r="V13" s="86">
        <v>45295</v>
      </c>
      <c r="W13" s="86">
        <v>45295</v>
      </c>
      <c r="X13" t="s">
        <v>216</v>
      </c>
      <c r="Y13" t="s">
        <v>289</v>
      </c>
      <c r="AA13" t="s">
        <v>227</v>
      </c>
    </row>
    <row r="14" spans="1:27" x14ac:dyDescent="0.2">
      <c r="A14">
        <v>12</v>
      </c>
      <c r="B14" t="s">
        <v>290</v>
      </c>
      <c r="C14" t="s">
        <v>291</v>
      </c>
      <c r="F14" t="s">
        <v>292</v>
      </c>
      <c r="G14" t="s">
        <v>208</v>
      </c>
      <c r="I14" t="s">
        <v>209</v>
      </c>
      <c r="J14" t="s">
        <v>210</v>
      </c>
      <c r="K14">
        <v>2102</v>
      </c>
      <c r="M14" t="s">
        <v>293</v>
      </c>
      <c r="Q14" t="s">
        <v>294</v>
      </c>
      <c r="S14" t="s">
        <v>213</v>
      </c>
      <c r="T14" t="s">
        <v>225</v>
      </c>
      <c r="U14" t="s">
        <v>215</v>
      </c>
      <c r="V14" s="86">
        <v>45662</v>
      </c>
      <c r="W14" s="86">
        <v>45662</v>
      </c>
      <c r="X14" t="s">
        <v>216</v>
      </c>
      <c r="AA14" t="s">
        <v>227</v>
      </c>
    </row>
    <row r="15" spans="1:27" s="160" customFormat="1" x14ac:dyDescent="0.2">
      <c r="A15" s="160">
        <v>13</v>
      </c>
      <c r="B15" s="160" t="s">
        <v>295</v>
      </c>
      <c r="C15" s="160" t="s">
        <v>296</v>
      </c>
      <c r="D15" s="160" t="s">
        <v>297</v>
      </c>
      <c r="F15" s="160" t="s">
        <v>298</v>
      </c>
      <c r="G15" s="160" t="s">
        <v>299</v>
      </c>
      <c r="I15" s="160" t="s">
        <v>209</v>
      </c>
      <c r="J15" s="160" t="s">
        <v>210</v>
      </c>
      <c r="K15" s="160">
        <v>2019</v>
      </c>
      <c r="M15" s="160" t="s">
        <v>300</v>
      </c>
      <c r="Q15" s="160" t="s">
        <v>301</v>
      </c>
      <c r="S15" s="160" t="s">
        <v>213</v>
      </c>
      <c r="T15" s="160" t="s">
        <v>225</v>
      </c>
      <c r="U15" s="160" t="s">
        <v>215</v>
      </c>
      <c r="V15" s="162">
        <v>45664</v>
      </c>
      <c r="W15" s="162">
        <v>44564</v>
      </c>
      <c r="X15" s="160" t="s">
        <v>216</v>
      </c>
      <c r="AA15" s="160" t="s">
        <v>227</v>
      </c>
    </row>
    <row r="16" spans="1:27" s="137" customFormat="1" x14ac:dyDescent="0.2">
      <c r="A16" s="137">
        <v>14</v>
      </c>
      <c r="C16" s="164" t="s">
        <v>395</v>
      </c>
      <c r="E16" s="165" t="s">
        <v>398</v>
      </c>
    </row>
    <row r="19" spans="3:4" x14ac:dyDescent="0.2">
      <c r="C19" s="160"/>
      <c r="D19" s="89" t="s">
        <v>394</v>
      </c>
    </row>
  </sheetData>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568AD-18A8-4A0F-B3D2-E53DA427A4AD}">
  <dimension ref="A1:C7"/>
  <sheetViews>
    <sheetView workbookViewId="0">
      <selection activeCell="A5" sqref="A5"/>
    </sheetView>
  </sheetViews>
  <sheetFormatPr defaultRowHeight="12.75" x14ac:dyDescent="0.2"/>
  <sheetData>
    <row r="1" spans="1:3" x14ac:dyDescent="0.2">
      <c r="A1" s="89" t="s">
        <v>27</v>
      </c>
      <c r="B1" s="89" t="s">
        <v>356</v>
      </c>
      <c r="C1" s="89"/>
    </row>
    <row r="2" spans="1:3" x14ac:dyDescent="0.2">
      <c r="A2" s="105">
        <v>45747</v>
      </c>
      <c r="B2" s="127">
        <f>1/1.75</f>
        <v>0.5714285714285714</v>
      </c>
    </row>
    <row r="3" spans="1:3" x14ac:dyDescent="0.2">
      <c r="A3" s="105">
        <v>45777</v>
      </c>
      <c r="B3" s="127">
        <f>1/1.71</f>
        <v>0.58479532163742687</v>
      </c>
    </row>
    <row r="4" spans="1:3" x14ac:dyDescent="0.2">
      <c r="A4" s="105">
        <v>45808</v>
      </c>
      <c r="B4" s="127">
        <f>1/1.68</f>
        <v>0.59523809523809523</v>
      </c>
    </row>
    <row r="5" spans="1:3" x14ac:dyDescent="0.2">
      <c r="A5" s="105">
        <v>45838</v>
      </c>
      <c r="B5" s="127">
        <f>1/1.66</f>
        <v>0.60240963855421692</v>
      </c>
    </row>
    <row r="6" spans="1:3" x14ac:dyDescent="0.2">
      <c r="A6" s="105">
        <v>45869</v>
      </c>
      <c r="B6" s="127">
        <f>1/1.67</f>
        <v>0.5988023952095809</v>
      </c>
    </row>
    <row r="7" spans="1:3" x14ac:dyDescent="0.2">
      <c r="A7" s="105">
        <v>45883</v>
      </c>
      <c r="B7" s="127">
        <f>1/1.68</f>
        <v>0.59523809523809523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24A8E-3E97-4738-9D63-63DA9E8E4D7A}">
  <dimension ref="B2:B22"/>
  <sheetViews>
    <sheetView workbookViewId="0">
      <selection activeCell="B2" sqref="B2"/>
    </sheetView>
  </sheetViews>
  <sheetFormatPr defaultRowHeight="12.75" x14ac:dyDescent="0.2"/>
  <sheetData>
    <row r="2" spans="2:2" x14ac:dyDescent="0.2">
      <c r="B2" s="105">
        <v>41852</v>
      </c>
    </row>
    <row r="3" spans="2:2" x14ac:dyDescent="0.2">
      <c r="B3" s="105">
        <v>46966</v>
      </c>
    </row>
    <row r="4" spans="2:2" x14ac:dyDescent="0.2">
      <c r="B4" s="105">
        <v>40787</v>
      </c>
    </row>
    <row r="5" spans="2:2" x14ac:dyDescent="0.2">
      <c r="B5" s="105">
        <v>45901</v>
      </c>
    </row>
    <row r="6" spans="2:2" x14ac:dyDescent="0.2">
      <c r="B6" s="120">
        <v>40087</v>
      </c>
    </row>
    <row r="7" spans="2:2" x14ac:dyDescent="0.2">
      <c r="B7" s="120">
        <v>45200</v>
      </c>
    </row>
    <row r="8" spans="2:2" x14ac:dyDescent="0.2">
      <c r="B8" s="120">
        <v>39022</v>
      </c>
    </row>
    <row r="9" spans="2:2" x14ac:dyDescent="0.2">
      <c r="B9" s="120">
        <v>44136</v>
      </c>
    </row>
    <row r="10" spans="2:2" x14ac:dyDescent="0.2">
      <c r="B10" s="120">
        <v>38322</v>
      </c>
    </row>
    <row r="11" spans="2:2" x14ac:dyDescent="0.2">
      <c r="B11" s="120">
        <v>42005</v>
      </c>
    </row>
    <row r="12" spans="2:2" x14ac:dyDescent="0.2">
      <c r="B12" s="120">
        <v>47119</v>
      </c>
    </row>
    <row r="13" spans="2:2" x14ac:dyDescent="0.2">
      <c r="B13" s="120">
        <v>40940</v>
      </c>
    </row>
    <row r="14" spans="2:2" x14ac:dyDescent="0.2">
      <c r="B14" s="120">
        <v>46054</v>
      </c>
    </row>
    <row r="15" spans="2:2" x14ac:dyDescent="0.2">
      <c r="B15" s="120">
        <v>40969</v>
      </c>
    </row>
    <row r="16" spans="2:2" x14ac:dyDescent="0.2">
      <c r="B16" s="120">
        <v>46082</v>
      </c>
    </row>
    <row r="17" spans="2:2" x14ac:dyDescent="0.2">
      <c r="B17" s="105">
        <v>39904</v>
      </c>
    </row>
    <row r="18" spans="2:2" x14ac:dyDescent="0.2">
      <c r="B18" s="105">
        <v>45017</v>
      </c>
    </row>
    <row r="19" spans="2:2" x14ac:dyDescent="0.2">
      <c r="B19" s="105">
        <v>39203</v>
      </c>
    </row>
    <row r="20" spans="2:2" x14ac:dyDescent="0.2">
      <c r="B20" s="105">
        <v>44317</v>
      </c>
    </row>
    <row r="21" spans="2:2" x14ac:dyDescent="0.2">
      <c r="B21" s="105">
        <v>38139</v>
      </c>
    </row>
    <row r="22" spans="2:2" x14ac:dyDescent="0.2">
      <c r="B22" s="105">
        <v>43252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94"/>
  <sheetViews>
    <sheetView zoomScale="95" zoomScaleNormal="95" workbookViewId="0">
      <pane xSplit="2" ySplit="7" topLeftCell="C8" activePane="bottomRight" state="frozen"/>
      <selection pane="topRight" activeCell="C1" sqref="C1"/>
      <selection pane="bottomLeft" activeCell="A5" sqref="A5"/>
      <selection pane="bottomRight" activeCell="C19" sqref="C19"/>
    </sheetView>
  </sheetViews>
  <sheetFormatPr defaultRowHeight="15" customHeight="1" x14ac:dyDescent="0.2"/>
  <cols>
    <col min="1" max="1" width="3.7109375" style="9" customWidth="1"/>
    <col min="2" max="2" width="38.7109375" style="9" customWidth="1"/>
    <col min="3" max="6" width="12.7109375" style="23" customWidth="1"/>
    <col min="7" max="14" width="12.7109375" style="9" customWidth="1"/>
    <col min="15" max="15" width="13.7109375" style="9" customWidth="1"/>
    <col min="16" max="27" width="12.7109375" style="9" customWidth="1"/>
    <col min="28" max="28" width="13.7109375" style="9" customWidth="1"/>
    <col min="29" max="40" width="12.7109375" style="9" customWidth="1"/>
    <col min="41" max="41" width="13.7109375" style="9" customWidth="1"/>
    <col min="42" max="16384" width="9.140625" style="9"/>
  </cols>
  <sheetData>
    <row r="1" spans="1:41" ht="15.75" x14ac:dyDescent="0.25">
      <c r="B1" s="5" t="str">
        <f>Assumptions!$B$4</f>
        <v>TALK Toastmasters Manurewa</v>
      </c>
      <c r="G1" s="9">
        <v>0.57999999999999996</v>
      </c>
      <c r="H1" s="9" t="s">
        <v>176</v>
      </c>
    </row>
    <row r="2" spans="1:41" ht="19.5" customHeight="1" x14ac:dyDescent="0.2">
      <c r="B2" s="8" t="s">
        <v>52</v>
      </c>
      <c r="G2" s="9">
        <v>0.56999999999999995</v>
      </c>
      <c r="H2" s="9" t="s">
        <v>177</v>
      </c>
    </row>
    <row r="3" spans="1:41" ht="19.5" customHeight="1" x14ac:dyDescent="0.2">
      <c r="B3" s="8"/>
      <c r="G3" s="9">
        <v>26.95</v>
      </c>
      <c r="H3" s="9" t="s">
        <v>302</v>
      </c>
    </row>
    <row r="4" spans="1:41" ht="14.25" customHeight="1" x14ac:dyDescent="0.2">
      <c r="B4" s="8"/>
      <c r="G4" s="9">
        <v>12</v>
      </c>
      <c r="H4" s="9" t="s">
        <v>178</v>
      </c>
    </row>
    <row r="5" spans="1:41" ht="14.25" customHeight="1" x14ac:dyDescent="0.2">
      <c r="B5" s="8"/>
    </row>
    <row r="6" spans="1:41" ht="12" customHeight="1" x14ac:dyDescent="0.2">
      <c r="B6" s="97" t="s">
        <v>303</v>
      </c>
      <c r="C6" s="23">
        <v>1749</v>
      </c>
      <c r="D6" s="23">
        <f>C25</f>
        <v>1504.85</v>
      </c>
      <c r="E6" s="23" t="e">
        <f>#REF!</f>
        <v>#REF!</v>
      </c>
      <c r="F6" s="23">
        <f ca="1">E25</f>
        <v>-1500.0775862068965</v>
      </c>
      <c r="G6" s="77">
        <f ca="1">F25</f>
        <v>-880.25</v>
      </c>
      <c r="H6" s="77">
        <f ca="1">G25</f>
        <v>-692.75</v>
      </c>
    </row>
    <row r="7" spans="1:41" s="44" customFormat="1" ht="18" customHeight="1" x14ac:dyDescent="0.2">
      <c r="B7" s="45"/>
      <c r="C7" s="46">
        <f ca="1">IF(ISBLANK(Assumptions!$B$5)=TRUE,DATE(YEAR(TODAY()),MONTH(TODAY())+1,0),DATE(YEAR(Assumptions!$B$5),MONTH(Assumptions!$B$5)+1,0))</f>
        <v>45869</v>
      </c>
      <c r="D7" s="46">
        <f ca="1">DATE(YEAR(C7),MONTH(C7)+2,0)</f>
        <v>45900</v>
      </c>
      <c r="E7" s="46">
        <f t="shared" ref="E7:M7" ca="1" si="0">DATE(YEAR(D7),MONTH(D7)+2,0)</f>
        <v>45930</v>
      </c>
      <c r="F7" s="46">
        <f t="shared" ca="1" si="0"/>
        <v>45961</v>
      </c>
      <c r="G7" s="46">
        <f t="shared" ca="1" si="0"/>
        <v>45991</v>
      </c>
      <c r="H7" s="46">
        <f t="shared" ca="1" si="0"/>
        <v>46022</v>
      </c>
      <c r="I7" s="46">
        <f t="shared" ca="1" si="0"/>
        <v>46053</v>
      </c>
      <c r="J7" s="46">
        <f t="shared" ca="1" si="0"/>
        <v>46081</v>
      </c>
      <c r="K7" s="46">
        <f t="shared" ca="1" si="0"/>
        <v>46112</v>
      </c>
      <c r="L7" s="46">
        <f t="shared" ca="1" si="0"/>
        <v>46142</v>
      </c>
      <c r="M7" s="46">
        <f t="shared" ca="1" si="0"/>
        <v>46173</v>
      </c>
      <c r="N7" s="46">
        <f ca="1">DATE(YEAR(M7),MONTH(M7)+2,0)</f>
        <v>46203</v>
      </c>
      <c r="O7" s="47" t="str">
        <f ca="1">"Year "&amp;YEAR(N7)</f>
        <v>Year 2026</v>
      </c>
      <c r="P7" s="46">
        <f ca="1">DATE(YEAR(N7),MONTH(N7)+2,0)</f>
        <v>46234</v>
      </c>
      <c r="Q7" s="46">
        <f t="shared" ref="Q7:AA7" ca="1" si="1">DATE(YEAR(P7),MONTH(P7)+2,0)</f>
        <v>46265</v>
      </c>
      <c r="R7" s="46">
        <f t="shared" ca="1" si="1"/>
        <v>46295</v>
      </c>
      <c r="S7" s="46">
        <f t="shared" ca="1" si="1"/>
        <v>46326</v>
      </c>
      <c r="T7" s="46">
        <f t="shared" ca="1" si="1"/>
        <v>46356</v>
      </c>
      <c r="U7" s="46">
        <f t="shared" ca="1" si="1"/>
        <v>46387</v>
      </c>
      <c r="V7" s="46">
        <f t="shared" ca="1" si="1"/>
        <v>46418</v>
      </c>
      <c r="W7" s="46">
        <f t="shared" ca="1" si="1"/>
        <v>46446</v>
      </c>
      <c r="X7" s="46">
        <f t="shared" ca="1" si="1"/>
        <v>46477</v>
      </c>
      <c r="Y7" s="46">
        <f t="shared" ca="1" si="1"/>
        <v>46507</v>
      </c>
      <c r="Z7" s="46">
        <f t="shared" ca="1" si="1"/>
        <v>46538</v>
      </c>
      <c r="AA7" s="46">
        <f t="shared" ca="1" si="1"/>
        <v>46568</v>
      </c>
      <c r="AB7" s="47" t="str">
        <f ca="1">"Year "&amp;YEAR(AA7)</f>
        <v>Year 2027</v>
      </c>
      <c r="AC7" s="46">
        <f ca="1">DATE(YEAR(AA7),MONTH(AA7)+2,0)</f>
        <v>46599</v>
      </c>
      <c r="AD7" s="46">
        <f t="shared" ref="AD7:AN7" ca="1" si="2">DATE(YEAR(AC7),MONTH(AC7)+2,0)</f>
        <v>46630</v>
      </c>
      <c r="AE7" s="46">
        <f t="shared" ca="1" si="2"/>
        <v>46660</v>
      </c>
      <c r="AF7" s="46">
        <f t="shared" ca="1" si="2"/>
        <v>46691</v>
      </c>
      <c r="AG7" s="46">
        <f t="shared" ca="1" si="2"/>
        <v>46721</v>
      </c>
      <c r="AH7" s="46">
        <f t="shared" ca="1" si="2"/>
        <v>46752</v>
      </c>
      <c r="AI7" s="46">
        <f t="shared" ca="1" si="2"/>
        <v>46783</v>
      </c>
      <c r="AJ7" s="46">
        <f t="shared" ca="1" si="2"/>
        <v>46812</v>
      </c>
      <c r="AK7" s="46">
        <f t="shared" ca="1" si="2"/>
        <v>46843</v>
      </c>
      <c r="AL7" s="46">
        <f t="shared" ca="1" si="2"/>
        <v>46873</v>
      </c>
      <c r="AM7" s="46">
        <f t="shared" ca="1" si="2"/>
        <v>46904</v>
      </c>
      <c r="AN7" s="46">
        <f t="shared" ca="1" si="2"/>
        <v>46934</v>
      </c>
      <c r="AO7" s="47" t="str">
        <f ca="1">"Year "&amp;YEAR(AN7)</f>
        <v>Year 2028</v>
      </c>
    </row>
    <row r="8" spans="1:41" s="18" customFormat="1" ht="15" customHeight="1" x14ac:dyDescent="0.2">
      <c r="A8" s="31"/>
      <c r="B8" s="48" t="s">
        <v>165</v>
      </c>
      <c r="C8" s="49">
        <v>0</v>
      </c>
      <c r="D8" s="50">
        <v>0</v>
      </c>
      <c r="E8" s="50">
        <f>(Membership!A16*130)-(Membership!A3*130)</f>
        <v>1690</v>
      </c>
      <c r="F8" s="50">
        <v>0</v>
      </c>
      <c r="G8" s="50">
        <v>0</v>
      </c>
      <c r="H8" s="50">
        <v>0</v>
      </c>
      <c r="I8" s="50">
        <v>0</v>
      </c>
      <c r="J8" s="50">
        <v>0</v>
      </c>
      <c r="K8" s="50">
        <v>0</v>
      </c>
      <c r="L8" s="50">
        <v>0</v>
      </c>
      <c r="M8" s="50">
        <v>0</v>
      </c>
      <c r="N8" s="50">
        <v>0</v>
      </c>
      <c r="O8" s="50">
        <f>SUM(C8:N8)</f>
        <v>1690</v>
      </c>
      <c r="P8" s="50">
        <v>43750</v>
      </c>
      <c r="Q8" s="50">
        <v>40000</v>
      </c>
      <c r="R8" s="50">
        <v>43125</v>
      </c>
      <c r="S8" s="50">
        <v>44250</v>
      </c>
      <c r="T8" s="50">
        <v>43375</v>
      </c>
      <c r="U8" s="50">
        <v>38750</v>
      </c>
      <c r="V8" s="50">
        <v>39375</v>
      </c>
      <c r="W8" s="50">
        <v>43750</v>
      </c>
      <c r="X8" s="50">
        <v>42250</v>
      </c>
      <c r="Y8" s="50">
        <v>45250</v>
      </c>
      <c r="Z8" s="50">
        <v>44625</v>
      </c>
      <c r="AA8" s="50">
        <v>44125</v>
      </c>
      <c r="AB8" s="50">
        <f>SUM(P8:AA8)</f>
        <v>512625</v>
      </c>
      <c r="AC8" s="50">
        <v>45250</v>
      </c>
      <c r="AD8" s="50">
        <v>46000</v>
      </c>
      <c r="AE8" s="50">
        <v>43625</v>
      </c>
      <c r="AF8" s="50">
        <v>46250</v>
      </c>
      <c r="AG8" s="50">
        <v>45500</v>
      </c>
      <c r="AH8" s="50">
        <v>47625</v>
      </c>
      <c r="AI8" s="50">
        <v>48625</v>
      </c>
      <c r="AJ8" s="50">
        <v>46500</v>
      </c>
      <c r="AK8" s="50">
        <v>47500</v>
      </c>
      <c r="AL8" s="50">
        <v>48125</v>
      </c>
      <c r="AM8" s="50">
        <v>46750</v>
      </c>
      <c r="AN8" s="50">
        <v>48750</v>
      </c>
      <c r="AO8" s="50">
        <f>SUM(AC8:AN8)</f>
        <v>560500</v>
      </c>
    </row>
    <row r="9" spans="1:41" s="18" customFormat="1" ht="15" customHeight="1" x14ac:dyDescent="0.2">
      <c r="A9" s="84"/>
      <c r="B9" s="48" t="s">
        <v>171</v>
      </c>
      <c r="C9" s="49">
        <v>0</v>
      </c>
      <c r="D9" s="51">
        <v>0</v>
      </c>
      <c r="E9" s="51">
        <v>0</v>
      </c>
      <c r="F9" s="51">
        <v>0</v>
      </c>
      <c r="G9" s="51">
        <v>0</v>
      </c>
      <c r="H9" s="51">
        <v>0</v>
      </c>
      <c r="I9" s="51">
        <v>0</v>
      </c>
      <c r="J9" s="51">
        <v>0</v>
      </c>
      <c r="K9" s="51">
        <v>0</v>
      </c>
      <c r="L9" s="51">
        <v>0</v>
      </c>
      <c r="M9" s="51">
        <v>0</v>
      </c>
      <c r="N9" s="51">
        <v>0</v>
      </c>
      <c r="O9" s="51"/>
      <c r="P9" s="51"/>
      <c r="Q9" s="51"/>
      <c r="R9" s="51"/>
      <c r="S9" s="51"/>
      <c r="T9" s="51"/>
      <c r="U9" s="51"/>
      <c r="V9" s="51"/>
      <c r="W9" s="51"/>
      <c r="X9" s="51"/>
      <c r="Y9" s="51"/>
      <c r="Z9" s="51"/>
      <c r="AA9" s="51"/>
      <c r="AB9" s="51"/>
      <c r="AC9" s="51"/>
      <c r="AD9" s="51"/>
      <c r="AE9" s="51"/>
      <c r="AF9" s="51"/>
      <c r="AG9" s="51"/>
      <c r="AH9" s="51"/>
      <c r="AI9" s="51"/>
      <c r="AJ9" s="51"/>
      <c r="AK9" s="51"/>
      <c r="AL9" s="51"/>
      <c r="AM9" s="51"/>
      <c r="AN9" s="51"/>
      <c r="AO9" s="51"/>
    </row>
    <row r="10" spans="1:41" s="23" customFormat="1" ht="15" customHeight="1" x14ac:dyDescent="0.2">
      <c r="B10" s="22"/>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row>
    <row r="11" spans="1:41" s="90" customFormat="1" ht="15" customHeight="1" x14ac:dyDescent="0.2">
      <c r="B11" s="91" t="s">
        <v>1</v>
      </c>
      <c r="C11" s="92"/>
      <c r="D11" s="92"/>
      <c r="E11" s="92"/>
      <c r="F11" s="92"/>
      <c r="G11" s="92"/>
      <c r="H11" s="92"/>
      <c r="I11" s="92"/>
      <c r="J11" s="92"/>
      <c r="K11" s="92"/>
      <c r="L11" s="92"/>
      <c r="M11" s="92"/>
      <c r="N11" s="92"/>
      <c r="O11" s="92">
        <f>SUM(C11:N11)</f>
        <v>0</v>
      </c>
      <c r="P11" s="92">
        <f t="shared" ref="P11:AA11" si="3">P8*P12</f>
        <v>16187.5</v>
      </c>
      <c r="Q11" s="92">
        <f t="shared" si="3"/>
        <v>14800</v>
      </c>
      <c r="R11" s="92">
        <f t="shared" si="3"/>
        <v>15956.25</v>
      </c>
      <c r="S11" s="92">
        <f t="shared" si="3"/>
        <v>16372.5</v>
      </c>
      <c r="T11" s="92">
        <f t="shared" si="3"/>
        <v>16048.75</v>
      </c>
      <c r="U11" s="92">
        <f t="shared" si="3"/>
        <v>14725</v>
      </c>
      <c r="V11" s="92">
        <f t="shared" si="3"/>
        <v>14962.5</v>
      </c>
      <c r="W11" s="92">
        <f t="shared" si="3"/>
        <v>16625</v>
      </c>
      <c r="X11" s="92">
        <f t="shared" si="3"/>
        <v>16055</v>
      </c>
      <c r="Y11" s="92">
        <f t="shared" si="3"/>
        <v>17195</v>
      </c>
      <c r="Z11" s="92">
        <f t="shared" si="3"/>
        <v>16957.5</v>
      </c>
      <c r="AA11" s="92">
        <f t="shared" si="3"/>
        <v>17208.75</v>
      </c>
      <c r="AB11" s="92">
        <f>SUM(P11:AA11)</f>
        <v>193093.75</v>
      </c>
      <c r="AC11" s="92">
        <f t="shared" ref="AC11:AN11" si="4">AC8*AC12</f>
        <v>18100</v>
      </c>
      <c r="AD11" s="92">
        <f t="shared" si="4"/>
        <v>18400</v>
      </c>
      <c r="AE11" s="92">
        <f t="shared" si="4"/>
        <v>17450</v>
      </c>
      <c r="AF11" s="92">
        <f t="shared" si="4"/>
        <v>18500</v>
      </c>
      <c r="AG11" s="92">
        <f t="shared" si="4"/>
        <v>18200</v>
      </c>
      <c r="AH11" s="92">
        <f t="shared" si="4"/>
        <v>19050</v>
      </c>
      <c r="AI11" s="92">
        <f t="shared" si="4"/>
        <v>19450</v>
      </c>
      <c r="AJ11" s="92">
        <f t="shared" si="4"/>
        <v>18600</v>
      </c>
      <c r="AK11" s="92">
        <f t="shared" si="4"/>
        <v>19000</v>
      </c>
      <c r="AL11" s="92">
        <f t="shared" si="4"/>
        <v>19250</v>
      </c>
      <c r="AM11" s="92">
        <f t="shared" si="4"/>
        <v>18700</v>
      </c>
      <c r="AN11" s="92">
        <f t="shared" si="4"/>
        <v>19500</v>
      </c>
      <c r="AO11" s="92">
        <f>SUM(AC11:AN11)</f>
        <v>224200</v>
      </c>
    </row>
    <row r="12" spans="1:41" s="94" customFormat="1" ht="15" customHeight="1" x14ac:dyDescent="0.2">
      <c r="A12" s="93"/>
      <c r="B12" s="98" t="s">
        <v>304</v>
      </c>
      <c r="C12" s="95">
        <f>C8+C9</f>
        <v>0</v>
      </c>
      <c r="D12" s="95">
        <f>D6+SUM(D8:D9)</f>
        <v>1504.85</v>
      </c>
      <c r="E12" s="95" t="e">
        <f t="shared" ref="E12:O12" si="5">E6+SUM(E8:E9)</f>
        <v>#REF!</v>
      </c>
      <c r="F12" s="95">
        <f t="shared" ca="1" si="5"/>
        <v>-1500.0775862068965</v>
      </c>
      <c r="G12" s="95">
        <f t="shared" ca="1" si="5"/>
        <v>-880.25</v>
      </c>
      <c r="H12" s="95">
        <f t="shared" ca="1" si="5"/>
        <v>-692.75</v>
      </c>
      <c r="I12" s="95">
        <f t="shared" si="5"/>
        <v>0</v>
      </c>
      <c r="J12" s="95">
        <f t="shared" si="5"/>
        <v>0</v>
      </c>
      <c r="K12" s="95">
        <f t="shared" si="5"/>
        <v>0</v>
      </c>
      <c r="L12" s="95">
        <f t="shared" si="5"/>
        <v>0</v>
      </c>
      <c r="M12" s="95">
        <f t="shared" si="5"/>
        <v>0</v>
      </c>
      <c r="N12" s="95">
        <f t="shared" si="5"/>
        <v>0</v>
      </c>
      <c r="O12" s="95">
        <f t="shared" si="5"/>
        <v>1690</v>
      </c>
      <c r="P12" s="96">
        <v>0.37</v>
      </c>
      <c r="Q12" s="96">
        <v>0.37</v>
      </c>
      <c r="R12" s="96">
        <v>0.37</v>
      </c>
      <c r="S12" s="96">
        <v>0.37</v>
      </c>
      <c r="T12" s="96">
        <v>0.37</v>
      </c>
      <c r="U12" s="96">
        <v>0.38</v>
      </c>
      <c r="V12" s="96">
        <v>0.38</v>
      </c>
      <c r="W12" s="96">
        <v>0.38</v>
      </c>
      <c r="X12" s="96">
        <v>0.38</v>
      </c>
      <c r="Y12" s="96">
        <v>0.38</v>
      </c>
      <c r="Z12" s="96">
        <v>0.38</v>
      </c>
      <c r="AA12" s="96">
        <v>0.39</v>
      </c>
      <c r="AB12" s="96">
        <f>IF(AB8=0,0,AB11/AB8)</f>
        <v>0.37667642038527188</v>
      </c>
      <c r="AC12" s="96">
        <v>0.4</v>
      </c>
      <c r="AD12" s="96">
        <v>0.4</v>
      </c>
      <c r="AE12" s="96">
        <v>0.4</v>
      </c>
      <c r="AF12" s="96">
        <v>0.4</v>
      </c>
      <c r="AG12" s="96">
        <v>0.4</v>
      </c>
      <c r="AH12" s="96">
        <v>0.4</v>
      </c>
      <c r="AI12" s="96">
        <v>0.4</v>
      </c>
      <c r="AJ12" s="96">
        <v>0.4</v>
      </c>
      <c r="AK12" s="96">
        <v>0.4</v>
      </c>
      <c r="AL12" s="96">
        <v>0.4</v>
      </c>
      <c r="AM12" s="96">
        <v>0.4</v>
      </c>
      <c r="AN12" s="96">
        <v>0.4</v>
      </c>
      <c r="AO12" s="96">
        <f>IF(AO8=0,0,AO11/AO8)</f>
        <v>0.4</v>
      </c>
    </row>
    <row r="13" spans="1:41" ht="15" customHeight="1" x14ac:dyDescent="0.2">
      <c r="C13" s="10"/>
      <c r="D13" s="10"/>
      <c r="E13" s="10"/>
      <c r="F13" s="10"/>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row>
    <row r="14" spans="1:41" ht="15" customHeight="1" x14ac:dyDescent="0.2">
      <c r="B14" s="37" t="s">
        <v>32</v>
      </c>
      <c r="C14" s="10"/>
      <c r="D14" s="10"/>
      <c r="E14" s="10"/>
      <c r="F14" s="10"/>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row>
    <row r="15" spans="1:41" s="23" customFormat="1" ht="15" customHeight="1" x14ac:dyDescent="0.2">
      <c r="A15" s="31" t="s">
        <v>150</v>
      </c>
      <c r="B15" s="22" t="s">
        <v>174</v>
      </c>
      <c r="C15" s="10"/>
      <c r="D15" s="10"/>
      <c r="E15" s="10">
        <f>(Membership!A16*60/Forecast!G1)-(Membership!A3*60/Forecast!G1)</f>
        <v>1344.8275862068965</v>
      </c>
      <c r="F15" s="10">
        <v>250</v>
      </c>
      <c r="G15" s="10">
        <v>250</v>
      </c>
      <c r="H15" s="10">
        <v>250</v>
      </c>
      <c r="I15" s="10">
        <v>250</v>
      </c>
      <c r="J15" s="10">
        <v>250</v>
      </c>
      <c r="K15" s="10">
        <v>250</v>
      </c>
      <c r="L15" s="10">
        <v>250</v>
      </c>
      <c r="M15" s="10">
        <v>250</v>
      </c>
      <c r="N15" s="10">
        <v>250</v>
      </c>
      <c r="O15" s="51">
        <f t="shared" ref="O15:O20" si="6">SUM(C15:N15)</f>
        <v>3594.8275862068967</v>
      </c>
      <c r="P15" s="10">
        <v>250</v>
      </c>
      <c r="Q15" s="10">
        <v>250</v>
      </c>
      <c r="R15" s="10">
        <v>250</v>
      </c>
      <c r="S15" s="10">
        <v>250</v>
      </c>
      <c r="T15" s="10">
        <v>250</v>
      </c>
      <c r="U15" s="10">
        <v>250</v>
      </c>
      <c r="V15" s="10">
        <v>250</v>
      </c>
      <c r="W15" s="10">
        <v>250</v>
      </c>
      <c r="X15" s="10">
        <v>250</v>
      </c>
      <c r="Y15" s="10">
        <v>250</v>
      </c>
      <c r="Z15" s="10">
        <v>250</v>
      </c>
      <c r="AA15" s="10">
        <v>250</v>
      </c>
      <c r="AB15" s="51">
        <f t="shared" ref="AB15:AB20" si="7">SUM(P15:AA15)</f>
        <v>3000</v>
      </c>
      <c r="AC15" s="10">
        <v>250</v>
      </c>
      <c r="AD15" s="10">
        <v>250</v>
      </c>
      <c r="AE15" s="10">
        <v>250</v>
      </c>
      <c r="AF15" s="10">
        <v>250</v>
      </c>
      <c r="AG15" s="10">
        <v>250</v>
      </c>
      <c r="AH15" s="10">
        <v>250</v>
      </c>
      <c r="AI15" s="10">
        <v>250</v>
      </c>
      <c r="AJ15" s="10">
        <v>250</v>
      </c>
      <c r="AK15" s="10">
        <v>250</v>
      </c>
      <c r="AL15" s="10">
        <v>250</v>
      </c>
      <c r="AM15" s="10">
        <v>250</v>
      </c>
      <c r="AN15" s="10">
        <v>250</v>
      </c>
      <c r="AO15" s="51">
        <f t="shared" ref="AO15:AO20" si="8">SUM(AC15:AN15)</f>
        <v>3000</v>
      </c>
    </row>
    <row r="16" spans="1:41" s="23" customFormat="1" ht="15" customHeight="1" x14ac:dyDescent="0.2">
      <c r="A16" s="31" t="s">
        <v>150</v>
      </c>
      <c r="B16" s="22" t="s">
        <v>168</v>
      </c>
      <c r="C16" s="10">
        <f>G4*2</f>
        <v>24</v>
      </c>
      <c r="D16" s="10">
        <f>2*G4</f>
        <v>24</v>
      </c>
      <c r="E16" s="10">
        <f>2*G4</f>
        <v>24</v>
      </c>
      <c r="F16" s="10">
        <f>2*G4</f>
        <v>24</v>
      </c>
      <c r="G16" s="10">
        <f>2*G4</f>
        <v>24</v>
      </c>
      <c r="H16" s="10">
        <f>1*G4</f>
        <v>12</v>
      </c>
      <c r="I16" s="10">
        <f>1*G4</f>
        <v>12</v>
      </c>
      <c r="J16" s="10">
        <f>2*G4</f>
        <v>24</v>
      </c>
      <c r="K16" s="10">
        <f>2*G4</f>
        <v>24</v>
      </c>
      <c r="L16" s="10">
        <f>2*G4</f>
        <v>24</v>
      </c>
      <c r="M16" s="10">
        <f>2*G4</f>
        <v>24</v>
      </c>
      <c r="N16" s="10">
        <f>2*G4</f>
        <v>24</v>
      </c>
      <c r="O16" s="51">
        <f t="shared" si="6"/>
        <v>264</v>
      </c>
      <c r="P16" s="10">
        <v>625</v>
      </c>
      <c r="Q16" s="10">
        <v>2750</v>
      </c>
      <c r="R16" s="10">
        <v>625</v>
      </c>
      <c r="S16" s="10">
        <v>625</v>
      </c>
      <c r="T16" s="10">
        <v>625</v>
      </c>
      <c r="U16" s="10">
        <v>4875</v>
      </c>
      <c r="V16" s="10">
        <v>625</v>
      </c>
      <c r="W16" s="10">
        <v>625</v>
      </c>
      <c r="X16" s="10">
        <v>625</v>
      </c>
      <c r="Y16" s="10">
        <v>5875</v>
      </c>
      <c r="Z16" s="10">
        <v>625</v>
      </c>
      <c r="AA16" s="10">
        <v>625</v>
      </c>
      <c r="AB16" s="51">
        <f t="shared" si="7"/>
        <v>19125</v>
      </c>
      <c r="AC16" s="10">
        <v>625</v>
      </c>
      <c r="AD16" s="10">
        <v>6750</v>
      </c>
      <c r="AE16" s="10">
        <v>625</v>
      </c>
      <c r="AF16" s="10">
        <v>625</v>
      </c>
      <c r="AG16" s="10">
        <v>8125</v>
      </c>
      <c r="AH16" s="10">
        <v>1000</v>
      </c>
      <c r="AI16" s="10">
        <v>1000</v>
      </c>
      <c r="AJ16" s="10">
        <v>1000</v>
      </c>
      <c r="AK16" s="10">
        <v>4000</v>
      </c>
      <c r="AL16" s="10">
        <v>2250</v>
      </c>
      <c r="AM16" s="10">
        <v>2250</v>
      </c>
      <c r="AN16" s="10">
        <v>2250</v>
      </c>
      <c r="AO16" s="51">
        <f t="shared" si="8"/>
        <v>30500</v>
      </c>
    </row>
    <row r="17" spans="1:41" s="23" customFormat="1" ht="15" customHeight="1" x14ac:dyDescent="0.2">
      <c r="A17" s="31" t="s">
        <v>150</v>
      </c>
      <c r="B17" s="22" t="s">
        <v>3</v>
      </c>
      <c r="C17" s="10">
        <v>10</v>
      </c>
      <c r="D17" s="10">
        <v>31.25</v>
      </c>
      <c r="E17" s="10">
        <v>31.25</v>
      </c>
      <c r="F17" s="10">
        <v>31.25</v>
      </c>
      <c r="G17" s="10">
        <v>31.25</v>
      </c>
      <c r="H17" s="10">
        <v>31.25</v>
      </c>
      <c r="I17" s="10">
        <v>31.25</v>
      </c>
      <c r="J17" s="10">
        <v>31.25</v>
      </c>
      <c r="K17" s="10">
        <v>31.25</v>
      </c>
      <c r="L17" s="10">
        <v>31.25</v>
      </c>
      <c r="M17" s="10">
        <v>31.25</v>
      </c>
      <c r="N17" s="10">
        <v>31.25</v>
      </c>
      <c r="O17" s="51">
        <f t="shared" si="6"/>
        <v>353.75</v>
      </c>
      <c r="P17" s="10">
        <v>62.5</v>
      </c>
      <c r="Q17" s="10">
        <v>62.5</v>
      </c>
      <c r="R17" s="10">
        <v>62.5</v>
      </c>
      <c r="S17" s="10">
        <v>62.5</v>
      </c>
      <c r="T17" s="10">
        <v>62.5</v>
      </c>
      <c r="U17" s="10">
        <v>62.5</v>
      </c>
      <c r="V17" s="10">
        <v>62.5</v>
      </c>
      <c r="W17" s="10">
        <v>62.5</v>
      </c>
      <c r="X17" s="10">
        <v>62.5</v>
      </c>
      <c r="Y17" s="10">
        <v>62.5</v>
      </c>
      <c r="Z17" s="10">
        <v>62.5</v>
      </c>
      <c r="AA17" s="10">
        <v>62.5</v>
      </c>
      <c r="AB17" s="51">
        <f t="shared" si="7"/>
        <v>750</v>
      </c>
      <c r="AC17" s="10">
        <v>91.25</v>
      </c>
      <c r="AD17" s="10">
        <v>91.25</v>
      </c>
      <c r="AE17" s="10">
        <v>91.25</v>
      </c>
      <c r="AF17" s="10">
        <v>91.25</v>
      </c>
      <c r="AG17" s="10">
        <v>91.25</v>
      </c>
      <c r="AH17" s="10">
        <v>91.25</v>
      </c>
      <c r="AI17" s="10">
        <v>91.25</v>
      </c>
      <c r="AJ17" s="10">
        <v>91.25</v>
      </c>
      <c r="AK17" s="10">
        <v>91.25</v>
      </c>
      <c r="AL17" s="10">
        <v>91.25</v>
      </c>
      <c r="AM17" s="10">
        <v>91.25</v>
      </c>
      <c r="AN17" s="10">
        <v>91.25</v>
      </c>
      <c r="AO17" s="51">
        <f t="shared" si="8"/>
        <v>1095</v>
      </c>
    </row>
    <row r="18" spans="1:41" s="23" customFormat="1" ht="15" customHeight="1" x14ac:dyDescent="0.2">
      <c r="A18" s="31" t="s">
        <v>150</v>
      </c>
      <c r="B18" s="22" t="s">
        <v>169</v>
      </c>
      <c r="C18" s="10">
        <f>2*G3</f>
        <v>53.9</v>
      </c>
      <c r="D18" s="10">
        <f>G3*2</f>
        <v>53.9</v>
      </c>
      <c r="E18" s="10">
        <v>100</v>
      </c>
      <c r="F18" s="10">
        <v>100</v>
      </c>
      <c r="G18" s="10">
        <v>100</v>
      </c>
      <c r="H18" s="10">
        <v>107.5</v>
      </c>
      <c r="I18" s="10">
        <v>107.5</v>
      </c>
      <c r="J18" s="10">
        <v>107.5</v>
      </c>
      <c r="K18" s="10">
        <v>107.5</v>
      </c>
      <c r="L18" s="10">
        <v>107.5</v>
      </c>
      <c r="M18" s="10">
        <v>107.5</v>
      </c>
      <c r="N18" s="10">
        <v>107.5</v>
      </c>
      <c r="O18" s="51">
        <f t="shared" si="6"/>
        <v>1160.3</v>
      </c>
      <c r="P18" s="10">
        <v>115</v>
      </c>
      <c r="Q18" s="10">
        <v>115</v>
      </c>
      <c r="R18" s="10">
        <v>115</v>
      </c>
      <c r="S18" s="10">
        <v>115</v>
      </c>
      <c r="T18" s="10">
        <v>115</v>
      </c>
      <c r="U18" s="10">
        <v>115</v>
      </c>
      <c r="V18" s="10">
        <v>115</v>
      </c>
      <c r="W18" s="10">
        <v>115</v>
      </c>
      <c r="X18" s="10">
        <v>118.125</v>
      </c>
      <c r="Y18" s="10">
        <v>118.125</v>
      </c>
      <c r="Z18" s="10">
        <v>118.125</v>
      </c>
      <c r="AA18" s="10">
        <v>118.125</v>
      </c>
      <c r="AB18" s="51">
        <f t="shared" si="7"/>
        <v>1392.5</v>
      </c>
      <c r="AC18" s="10">
        <v>129.25</v>
      </c>
      <c r="AD18" s="10">
        <v>129.25</v>
      </c>
      <c r="AE18" s="10">
        <v>129.25</v>
      </c>
      <c r="AF18" s="10">
        <v>129.25</v>
      </c>
      <c r="AG18" s="10">
        <v>129.25</v>
      </c>
      <c r="AH18" s="10">
        <v>129.25</v>
      </c>
      <c r="AI18" s="10">
        <v>260</v>
      </c>
      <c r="AJ18" s="10">
        <v>260</v>
      </c>
      <c r="AK18" s="10">
        <v>260</v>
      </c>
      <c r="AL18" s="10">
        <v>260</v>
      </c>
      <c r="AM18" s="10">
        <v>260</v>
      </c>
      <c r="AN18" s="10">
        <v>260</v>
      </c>
      <c r="AO18" s="51">
        <f t="shared" si="8"/>
        <v>2335.5</v>
      </c>
    </row>
    <row r="19" spans="1:41" s="23" customFormat="1" ht="15" customHeight="1" x14ac:dyDescent="0.2">
      <c r="A19" s="31" t="s">
        <v>150</v>
      </c>
      <c r="B19" s="22" t="s">
        <v>175</v>
      </c>
      <c r="C19" s="10">
        <v>0</v>
      </c>
      <c r="D19" s="10">
        <v>0</v>
      </c>
      <c r="E19" s="10">
        <v>0</v>
      </c>
      <c r="F19" s="10">
        <v>475</v>
      </c>
      <c r="G19" s="10">
        <v>0</v>
      </c>
      <c r="H19" s="10">
        <v>0</v>
      </c>
      <c r="I19" s="10">
        <v>0</v>
      </c>
      <c r="J19" s="10">
        <v>0</v>
      </c>
      <c r="K19" s="10">
        <v>0</v>
      </c>
      <c r="L19" s="10">
        <v>0</v>
      </c>
      <c r="M19" s="10">
        <v>0</v>
      </c>
      <c r="N19" s="10">
        <v>525</v>
      </c>
      <c r="O19" s="51">
        <f t="shared" si="6"/>
        <v>1000</v>
      </c>
      <c r="P19" s="10">
        <v>0</v>
      </c>
      <c r="Q19" s="10">
        <v>0</v>
      </c>
      <c r="R19" s="10">
        <v>0</v>
      </c>
      <c r="S19" s="10">
        <v>0</v>
      </c>
      <c r="T19" s="10">
        <v>0</v>
      </c>
      <c r="U19" s="10">
        <v>160.625</v>
      </c>
      <c r="V19" s="10">
        <v>0</v>
      </c>
      <c r="W19" s="10">
        <v>0</v>
      </c>
      <c r="X19" s="10">
        <v>0</v>
      </c>
      <c r="Y19" s="10">
        <v>111.25</v>
      </c>
      <c r="Z19" s="10">
        <v>0</v>
      </c>
      <c r="AA19" s="10">
        <v>0</v>
      </c>
      <c r="AB19" s="51">
        <f t="shared" si="7"/>
        <v>271.875</v>
      </c>
      <c r="AC19" s="10">
        <v>0</v>
      </c>
      <c r="AD19" s="10">
        <v>0</v>
      </c>
      <c r="AE19" s="10">
        <v>106.75</v>
      </c>
      <c r="AF19" s="10">
        <v>0</v>
      </c>
      <c r="AG19" s="10">
        <v>0</v>
      </c>
      <c r="AH19" s="10">
        <v>0</v>
      </c>
      <c r="AI19" s="10">
        <v>0</v>
      </c>
      <c r="AJ19" s="10">
        <v>133.75</v>
      </c>
      <c r="AK19" s="10">
        <v>0</v>
      </c>
      <c r="AL19" s="10">
        <v>0</v>
      </c>
      <c r="AM19" s="10">
        <v>0</v>
      </c>
      <c r="AN19" s="10">
        <v>0</v>
      </c>
      <c r="AO19" s="51">
        <f t="shared" si="8"/>
        <v>240.5</v>
      </c>
    </row>
    <row r="20" spans="1:41" s="23" customFormat="1" ht="15" customHeight="1" x14ac:dyDescent="0.2">
      <c r="A20" s="31" t="s">
        <v>150</v>
      </c>
      <c r="B20" s="22" t="s">
        <v>4</v>
      </c>
      <c r="C20" s="10">
        <v>156.25</v>
      </c>
      <c r="D20" s="10">
        <v>0</v>
      </c>
      <c r="E20" s="10">
        <v>0</v>
      </c>
      <c r="F20" s="10">
        <v>0</v>
      </c>
      <c r="G20" s="10">
        <v>287.5</v>
      </c>
      <c r="H20" s="10">
        <v>97.5</v>
      </c>
      <c r="I20" s="10">
        <v>25</v>
      </c>
      <c r="J20" s="10">
        <v>0</v>
      </c>
      <c r="K20" s="10">
        <v>0</v>
      </c>
      <c r="L20" s="10">
        <v>94.875</v>
      </c>
      <c r="M20" s="10">
        <v>0</v>
      </c>
      <c r="N20" s="10">
        <v>0</v>
      </c>
      <c r="O20" s="51">
        <f t="shared" si="6"/>
        <v>661.125</v>
      </c>
      <c r="P20" s="10">
        <v>67.875</v>
      </c>
      <c r="Q20" s="10">
        <v>0</v>
      </c>
      <c r="R20" s="10">
        <v>0</v>
      </c>
      <c r="S20" s="10">
        <v>109.375</v>
      </c>
      <c r="T20" s="10">
        <v>70.875</v>
      </c>
      <c r="U20" s="10">
        <v>44.625</v>
      </c>
      <c r="V20" s="10">
        <v>0</v>
      </c>
      <c r="W20" s="10">
        <v>722.25</v>
      </c>
      <c r="X20" s="10">
        <v>0</v>
      </c>
      <c r="Y20" s="10">
        <v>0</v>
      </c>
      <c r="Z20" s="10">
        <v>0</v>
      </c>
      <c r="AA20" s="10">
        <v>80.5</v>
      </c>
      <c r="AB20" s="51">
        <f t="shared" si="7"/>
        <v>1095.5</v>
      </c>
      <c r="AC20" s="10">
        <v>156.25</v>
      </c>
      <c r="AD20" s="10">
        <v>81.875</v>
      </c>
      <c r="AE20" s="10">
        <v>444.5</v>
      </c>
      <c r="AF20" s="10">
        <v>0</v>
      </c>
      <c r="AG20" s="10">
        <v>0</v>
      </c>
      <c r="AH20" s="10">
        <v>95.5</v>
      </c>
      <c r="AI20" s="10">
        <v>94.375</v>
      </c>
      <c r="AJ20" s="10">
        <v>122</v>
      </c>
      <c r="AK20" s="10">
        <v>0</v>
      </c>
      <c r="AL20" s="10">
        <v>0</v>
      </c>
      <c r="AM20" s="10">
        <v>56.875</v>
      </c>
      <c r="AN20" s="10">
        <v>123.375</v>
      </c>
      <c r="AO20" s="51">
        <f t="shared" si="8"/>
        <v>1174.75</v>
      </c>
    </row>
    <row r="21" spans="1:41" s="37" customFormat="1" ht="15" customHeight="1" x14ac:dyDescent="0.2">
      <c r="B21" s="37" t="s">
        <v>36</v>
      </c>
      <c r="C21" s="52">
        <f>SUM(C14:C20)</f>
        <v>244.15</v>
      </c>
      <c r="D21" s="52">
        <f>SUM(D15:D20)</f>
        <v>109.15</v>
      </c>
      <c r="E21" s="52">
        <f t="shared" ref="E21:AO21" ca="1" si="9">SUM(OFFSET($B$14,1,COLUMN(E14)-2,ROW($B$21)-ROW($B$14)-1,1))</f>
        <v>1500.0775862068965</v>
      </c>
      <c r="F21" s="52">
        <f t="shared" ca="1" si="9"/>
        <v>880.25</v>
      </c>
      <c r="G21" s="52">
        <f t="shared" ca="1" si="9"/>
        <v>692.75</v>
      </c>
      <c r="H21" s="52">
        <f t="shared" ca="1" si="9"/>
        <v>498.25</v>
      </c>
      <c r="I21" s="52">
        <f t="shared" ca="1" si="9"/>
        <v>425.75</v>
      </c>
      <c r="J21" s="52">
        <f t="shared" ca="1" si="9"/>
        <v>412.75</v>
      </c>
      <c r="K21" s="52">
        <f t="shared" ca="1" si="9"/>
        <v>412.75</v>
      </c>
      <c r="L21" s="52">
        <f t="shared" ca="1" si="9"/>
        <v>507.625</v>
      </c>
      <c r="M21" s="52">
        <f t="shared" ca="1" si="9"/>
        <v>412.75</v>
      </c>
      <c r="N21" s="52">
        <f t="shared" ca="1" si="9"/>
        <v>937.75</v>
      </c>
      <c r="O21" s="52">
        <f t="shared" ca="1" si="9"/>
        <v>7034.0025862068969</v>
      </c>
      <c r="P21" s="52">
        <f t="shared" ca="1" si="9"/>
        <v>1120.375</v>
      </c>
      <c r="Q21" s="52">
        <f t="shared" ca="1" si="9"/>
        <v>3177.5</v>
      </c>
      <c r="R21" s="52">
        <f t="shared" ca="1" si="9"/>
        <v>1052.5</v>
      </c>
      <c r="S21" s="52">
        <f t="shared" ca="1" si="9"/>
        <v>1161.875</v>
      </c>
      <c r="T21" s="52">
        <f t="shared" ca="1" si="9"/>
        <v>1123.375</v>
      </c>
      <c r="U21" s="52">
        <f t="shared" ca="1" si="9"/>
        <v>5507.75</v>
      </c>
      <c r="V21" s="52">
        <f t="shared" ca="1" si="9"/>
        <v>1052.5</v>
      </c>
      <c r="W21" s="52">
        <f t="shared" ca="1" si="9"/>
        <v>1774.75</v>
      </c>
      <c r="X21" s="52">
        <f t="shared" ca="1" si="9"/>
        <v>1055.625</v>
      </c>
      <c r="Y21" s="52">
        <f t="shared" ca="1" si="9"/>
        <v>6416.875</v>
      </c>
      <c r="Z21" s="52">
        <f t="shared" ca="1" si="9"/>
        <v>1055.625</v>
      </c>
      <c r="AA21" s="52">
        <f t="shared" ca="1" si="9"/>
        <v>1136.125</v>
      </c>
      <c r="AB21" s="52">
        <f t="shared" ca="1" si="9"/>
        <v>25634.875</v>
      </c>
      <c r="AC21" s="52">
        <f t="shared" ca="1" si="9"/>
        <v>1251.75</v>
      </c>
      <c r="AD21" s="52">
        <f t="shared" ca="1" si="9"/>
        <v>7302.375</v>
      </c>
      <c r="AE21" s="52">
        <f t="shared" ca="1" si="9"/>
        <v>1646.75</v>
      </c>
      <c r="AF21" s="52">
        <f t="shared" ca="1" si="9"/>
        <v>1095.5</v>
      </c>
      <c r="AG21" s="52">
        <f t="shared" ca="1" si="9"/>
        <v>8595.5</v>
      </c>
      <c r="AH21" s="52">
        <f t="shared" ca="1" si="9"/>
        <v>1566</v>
      </c>
      <c r="AI21" s="52">
        <f t="shared" ca="1" si="9"/>
        <v>1695.625</v>
      </c>
      <c r="AJ21" s="52">
        <f t="shared" ca="1" si="9"/>
        <v>1857</v>
      </c>
      <c r="AK21" s="52">
        <f t="shared" ca="1" si="9"/>
        <v>4601.25</v>
      </c>
      <c r="AL21" s="52">
        <f t="shared" ca="1" si="9"/>
        <v>2851.25</v>
      </c>
      <c r="AM21" s="52">
        <f t="shared" ca="1" si="9"/>
        <v>2908.125</v>
      </c>
      <c r="AN21" s="52">
        <f t="shared" ca="1" si="9"/>
        <v>2974.625</v>
      </c>
      <c r="AO21" s="52">
        <f t="shared" ca="1" si="9"/>
        <v>38345.75</v>
      </c>
    </row>
    <row r="22" spans="1:41" s="37" customFormat="1" ht="15" customHeight="1" x14ac:dyDescent="0.2">
      <c r="C22" s="51"/>
      <c r="D22" s="51"/>
      <c r="E22" s="51"/>
      <c r="F22" s="51"/>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row>
    <row r="23" spans="1:41" s="23" customFormat="1" ht="15" customHeight="1" x14ac:dyDescent="0.2">
      <c r="A23" s="31"/>
      <c r="B23" s="85" t="s">
        <v>53</v>
      </c>
      <c r="C23" s="10"/>
      <c r="D23" s="10"/>
      <c r="E23" s="10"/>
      <c r="F23" s="10"/>
      <c r="G23" s="10"/>
      <c r="H23" s="10"/>
      <c r="I23" s="10"/>
      <c r="J23" s="10">
        <v>1930</v>
      </c>
      <c r="K23" s="10">
        <v>1930</v>
      </c>
      <c r="L23" s="10">
        <v>1930</v>
      </c>
      <c r="M23" s="10">
        <v>1930</v>
      </c>
      <c r="N23" s="10">
        <v>1930</v>
      </c>
      <c r="O23" s="51">
        <f>SUM(C23:N23)</f>
        <v>9650</v>
      </c>
      <c r="P23" s="10">
        <v>1710</v>
      </c>
      <c r="Q23" s="10">
        <v>1710</v>
      </c>
      <c r="R23" s="10">
        <v>1710</v>
      </c>
      <c r="S23" s="10">
        <v>1710</v>
      </c>
      <c r="T23" s="10">
        <v>1710</v>
      </c>
      <c r="U23" s="10">
        <v>1710</v>
      </c>
      <c r="V23" s="10">
        <v>1710</v>
      </c>
      <c r="W23" s="10">
        <v>1780</v>
      </c>
      <c r="X23" s="10">
        <v>1780</v>
      </c>
      <c r="Y23" s="10">
        <v>1780</v>
      </c>
      <c r="Z23" s="10">
        <v>1780</v>
      </c>
      <c r="AA23" s="10">
        <v>1780</v>
      </c>
      <c r="AB23" s="51">
        <f>SUM(P23:AA23)</f>
        <v>20870</v>
      </c>
      <c r="AC23" s="10">
        <v>1430</v>
      </c>
      <c r="AD23" s="10">
        <v>1600</v>
      </c>
      <c r="AE23" s="10">
        <v>1600</v>
      </c>
      <c r="AF23" s="10">
        <v>1600</v>
      </c>
      <c r="AG23" s="10">
        <v>1600</v>
      </c>
      <c r="AH23" s="10">
        <v>1600</v>
      </c>
      <c r="AI23" s="10">
        <v>1600</v>
      </c>
      <c r="AJ23" s="10">
        <v>1600</v>
      </c>
      <c r="AK23" s="10">
        <v>1600</v>
      </c>
      <c r="AL23" s="10">
        <v>1800</v>
      </c>
      <c r="AM23" s="10">
        <v>1800</v>
      </c>
      <c r="AN23" s="10">
        <v>1800</v>
      </c>
      <c r="AO23" s="51">
        <f>SUM(AC23:AN23)</f>
        <v>19630</v>
      </c>
    </row>
    <row r="24" spans="1:41" ht="15" customHeight="1" x14ac:dyDescent="0.2">
      <c r="C24" s="10"/>
      <c r="D24" s="10"/>
      <c r="E24" s="10"/>
      <c r="F24" s="10"/>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row>
    <row r="25" spans="1:41" s="37" customFormat="1" ht="15" customHeight="1" x14ac:dyDescent="0.2">
      <c r="B25" s="37" t="s">
        <v>305</v>
      </c>
      <c r="C25" s="51">
        <f>C6+C12-C21</f>
        <v>1504.85</v>
      </c>
      <c r="D25" s="99">
        <f>D6+D12-D21</f>
        <v>2900.5499999999997</v>
      </c>
      <c r="E25" s="51">
        <f t="shared" ref="E25:AO25" ca="1" si="10">SUM(E11,-E21,-E23)</f>
        <v>-1500.0775862068965</v>
      </c>
      <c r="F25" s="51">
        <f t="shared" ca="1" si="10"/>
        <v>-880.25</v>
      </c>
      <c r="G25" s="51">
        <f t="shared" ca="1" si="10"/>
        <v>-692.75</v>
      </c>
      <c r="H25" s="51">
        <f t="shared" ca="1" si="10"/>
        <v>-498.25</v>
      </c>
      <c r="I25" s="51">
        <f t="shared" ca="1" si="10"/>
        <v>-425.75</v>
      </c>
      <c r="J25" s="51">
        <f t="shared" ca="1" si="10"/>
        <v>-2342.75</v>
      </c>
      <c r="K25" s="51">
        <f t="shared" ca="1" si="10"/>
        <v>-2342.75</v>
      </c>
      <c r="L25" s="51">
        <f t="shared" ca="1" si="10"/>
        <v>-2437.625</v>
      </c>
      <c r="M25" s="51">
        <f t="shared" ca="1" si="10"/>
        <v>-2342.75</v>
      </c>
      <c r="N25" s="51">
        <f t="shared" ca="1" si="10"/>
        <v>-2867.75</v>
      </c>
      <c r="O25" s="51">
        <f t="shared" ca="1" si="10"/>
        <v>-16684.002586206898</v>
      </c>
      <c r="P25" s="51">
        <f t="shared" ca="1" si="10"/>
        <v>13357.125</v>
      </c>
      <c r="Q25" s="51">
        <f t="shared" ca="1" si="10"/>
        <v>9912.5</v>
      </c>
      <c r="R25" s="51">
        <f t="shared" ca="1" si="10"/>
        <v>13193.75</v>
      </c>
      <c r="S25" s="51">
        <f t="shared" ca="1" si="10"/>
        <v>13500.625</v>
      </c>
      <c r="T25" s="51">
        <f t="shared" ca="1" si="10"/>
        <v>13215.375</v>
      </c>
      <c r="U25" s="51">
        <f t="shared" ca="1" si="10"/>
        <v>7507.25</v>
      </c>
      <c r="V25" s="51">
        <f t="shared" ca="1" si="10"/>
        <v>12200</v>
      </c>
      <c r="W25" s="51">
        <f t="shared" ca="1" si="10"/>
        <v>13070.25</v>
      </c>
      <c r="X25" s="51">
        <f t="shared" ca="1" si="10"/>
        <v>13219.375</v>
      </c>
      <c r="Y25" s="51">
        <f t="shared" ca="1" si="10"/>
        <v>8998.125</v>
      </c>
      <c r="Z25" s="51">
        <f t="shared" ca="1" si="10"/>
        <v>14121.875</v>
      </c>
      <c r="AA25" s="51">
        <f t="shared" ca="1" si="10"/>
        <v>14292.625</v>
      </c>
      <c r="AB25" s="51">
        <f t="shared" ca="1" si="10"/>
        <v>146588.875</v>
      </c>
      <c r="AC25" s="51">
        <f t="shared" ca="1" si="10"/>
        <v>15418.25</v>
      </c>
      <c r="AD25" s="51">
        <f t="shared" ca="1" si="10"/>
        <v>9497.625</v>
      </c>
      <c r="AE25" s="51">
        <f t="shared" ca="1" si="10"/>
        <v>14203.25</v>
      </c>
      <c r="AF25" s="51">
        <f t="shared" ca="1" si="10"/>
        <v>15804.5</v>
      </c>
      <c r="AG25" s="51">
        <f t="shared" ca="1" si="10"/>
        <v>8004.5</v>
      </c>
      <c r="AH25" s="51">
        <f t="shared" ca="1" si="10"/>
        <v>15884</v>
      </c>
      <c r="AI25" s="51">
        <f t="shared" ca="1" si="10"/>
        <v>16154.375</v>
      </c>
      <c r="AJ25" s="51">
        <f t="shared" ca="1" si="10"/>
        <v>15143</v>
      </c>
      <c r="AK25" s="51">
        <f t="shared" ca="1" si="10"/>
        <v>12798.75</v>
      </c>
      <c r="AL25" s="51">
        <f t="shared" ca="1" si="10"/>
        <v>14598.75</v>
      </c>
      <c r="AM25" s="51">
        <f t="shared" ca="1" si="10"/>
        <v>13991.875</v>
      </c>
      <c r="AN25" s="51">
        <f t="shared" ca="1" si="10"/>
        <v>14725.375</v>
      </c>
      <c r="AO25" s="51">
        <f t="shared" ca="1" si="10"/>
        <v>166224.25</v>
      </c>
    </row>
    <row r="26" spans="1:41" ht="15" customHeight="1" x14ac:dyDescent="0.2">
      <c r="C26" s="10"/>
      <c r="D26" s="10"/>
      <c r="E26" s="10"/>
      <c r="F26" s="10"/>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row>
    <row r="27" spans="1:41" s="23" customFormat="1" ht="15" customHeight="1" x14ac:dyDescent="0.2">
      <c r="B27" s="85" t="s">
        <v>23</v>
      </c>
      <c r="C27" s="10" t="e">
        <f ca="1">OFFSET(#REF!,COLUMN(C25)-2,0,1,1)</f>
        <v>#REF!</v>
      </c>
      <c r="D27" s="10" t="e">
        <f ca="1">IF(SUM($C25:C25)-SUM($C27:D27)&lt;0,-SUM($C28:C28),((SUM($C25:C25)-SUM($C27:D27))*Assumptions!$B$32)-SUM($C28:C28))</f>
        <v>#REF!</v>
      </c>
      <c r="E27" s="10" t="e">
        <f ca="1">OFFSET(#REF!,COLUMN(E25)-2,0,1,1)</f>
        <v>#REF!</v>
      </c>
      <c r="F27" s="10" t="e">
        <f ca="1">OFFSET(#REF!,COLUMN(F25)-2,0,1,1)</f>
        <v>#REF!</v>
      </c>
      <c r="G27" s="10" t="e">
        <f ca="1">OFFSET(#REF!,COLUMN(G25)-2,0,1,1)</f>
        <v>#REF!</v>
      </c>
      <c r="H27" s="10" t="e">
        <f ca="1">OFFSET(#REF!,COLUMN(H25)-2,0,1,1)</f>
        <v>#REF!</v>
      </c>
      <c r="I27" s="10" t="e">
        <f ca="1">OFFSET(#REF!,COLUMN(I25)-2,0,1,1)</f>
        <v>#REF!</v>
      </c>
      <c r="J27" s="10" t="e">
        <f ca="1">OFFSET(#REF!,COLUMN(J25)-2,0,1,1)</f>
        <v>#REF!</v>
      </c>
      <c r="K27" s="10" t="e">
        <f ca="1">OFFSET(#REF!,COLUMN(K25)-2,0,1,1)</f>
        <v>#REF!</v>
      </c>
      <c r="L27" s="10" t="e">
        <f ca="1">OFFSET(#REF!,COLUMN(L25)-2,0,1,1)</f>
        <v>#REF!</v>
      </c>
      <c r="M27" s="10" t="e">
        <f ca="1">OFFSET(#REF!,COLUMN(M25)-2,0,1,1)</f>
        <v>#REF!</v>
      </c>
      <c r="N27" s="10" t="e">
        <f ca="1">OFFSET(#REF!,COLUMN(N25)-2,0,1,1)</f>
        <v>#REF!</v>
      </c>
      <c r="O27" s="51" t="e">
        <f ca="1">SUM(C27:N27)</f>
        <v>#REF!</v>
      </c>
      <c r="P27" s="10" t="e">
        <f ca="1">OFFSET(#REF!,COLUMN(P25)-3,0,1,1)</f>
        <v>#REF!</v>
      </c>
      <c r="Q27" s="10" t="e">
        <f ca="1">OFFSET(#REF!,COLUMN(Q25)-3,0,1,1)</f>
        <v>#REF!</v>
      </c>
      <c r="R27" s="10" t="e">
        <f ca="1">OFFSET(#REF!,COLUMN(R25)-3,0,1,1)</f>
        <v>#REF!</v>
      </c>
      <c r="S27" s="10" t="e">
        <f ca="1">OFFSET(#REF!,COLUMN(S25)-3,0,1,1)</f>
        <v>#REF!</v>
      </c>
      <c r="T27" s="10" t="e">
        <f ca="1">OFFSET(#REF!,COLUMN(T25)-3,0,1,1)</f>
        <v>#REF!</v>
      </c>
      <c r="U27" s="10" t="e">
        <f ca="1">OFFSET(#REF!,COLUMN(U25)-3,0,1,1)</f>
        <v>#REF!</v>
      </c>
      <c r="V27" s="10" t="e">
        <f ca="1">OFFSET(#REF!,COLUMN(V25)-3,0,1,1)</f>
        <v>#REF!</v>
      </c>
      <c r="W27" s="10" t="e">
        <f ca="1">OFFSET(#REF!,COLUMN(W25)-3,0,1,1)</f>
        <v>#REF!</v>
      </c>
      <c r="X27" s="10" t="e">
        <f ca="1">OFFSET(#REF!,COLUMN(X25)-3,0,1,1)</f>
        <v>#REF!</v>
      </c>
      <c r="Y27" s="10" t="e">
        <f ca="1">OFFSET(#REF!,COLUMN(Y25)-3,0,1,1)</f>
        <v>#REF!</v>
      </c>
      <c r="Z27" s="10" t="e">
        <f ca="1">OFFSET(#REF!,COLUMN(Z25)-3,0,1,1)</f>
        <v>#REF!</v>
      </c>
      <c r="AA27" s="10" t="e">
        <f ca="1">OFFSET(#REF!,COLUMN(AA25)-3,0,1,1)</f>
        <v>#REF!</v>
      </c>
      <c r="AB27" s="51" t="e">
        <f ca="1">SUM(P27:AA27)</f>
        <v>#REF!</v>
      </c>
      <c r="AC27" s="10" t="e">
        <f ca="1">OFFSET(#REF!,COLUMN(AC25)-4,0,1,1)</f>
        <v>#REF!</v>
      </c>
      <c r="AD27" s="10" t="e">
        <f ca="1">OFFSET(#REF!,COLUMN(AD25)-4,0,1,1)</f>
        <v>#REF!</v>
      </c>
      <c r="AE27" s="10" t="e">
        <f ca="1">OFFSET(#REF!,COLUMN(AE25)-4,0,1,1)</f>
        <v>#REF!</v>
      </c>
      <c r="AF27" s="10" t="e">
        <f ca="1">OFFSET(#REF!,COLUMN(AF25)-4,0,1,1)</f>
        <v>#REF!</v>
      </c>
      <c r="AG27" s="10" t="e">
        <f ca="1">OFFSET(#REF!,COLUMN(AG25)-4,0,1,1)</f>
        <v>#REF!</v>
      </c>
      <c r="AH27" s="10" t="e">
        <f ca="1">OFFSET(#REF!,COLUMN(AH25)-4,0,1,1)</f>
        <v>#REF!</v>
      </c>
      <c r="AI27" s="10" t="e">
        <f ca="1">OFFSET(#REF!,COLUMN(AI25)-4,0,1,1)</f>
        <v>#REF!</v>
      </c>
      <c r="AJ27" s="10" t="e">
        <f ca="1">OFFSET(#REF!,COLUMN(AJ25)-4,0,1,1)</f>
        <v>#REF!</v>
      </c>
      <c r="AK27" s="10" t="e">
        <f ca="1">OFFSET(#REF!,COLUMN(AK25)-4,0,1,1)</f>
        <v>#REF!</v>
      </c>
      <c r="AL27" s="10" t="e">
        <f ca="1">OFFSET(#REF!,COLUMN(AL25)-4,0,1,1)</f>
        <v>#REF!</v>
      </c>
      <c r="AM27" s="10" t="e">
        <f ca="1">OFFSET(#REF!,COLUMN(AM25)-4,0,1,1)</f>
        <v>#REF!</v>
      </c>
      <c r="AN27" s="10" t="e">
        <f ca="1">OFFSET(#REF!,COLUMN(AN25)-4,0,1,1)</f>
        <v>#REF!</v>
      </c>
      <c r="AO27" s="51" t="e">
        <f ca="1">SUM(AC27:AN27)</f>
        <v>#REF!</v>
      </c>
    </row>
    <row r="28" spans="1:41" s="23" customFormat="1" ht="15" customHeight="1" x14ac:dyDescent="0.2">
      <c r="B28" s="85" t="s">
        <v>17</v>
      </c>
      <c r="C28" s="10" t="e">
        <f ca="1">IF(SUM($C25:C25)-SUM($C27:C27)&lt;0,0,(SUM($C25:C25)-SUM($C27:C27))*Assumptions!$B$32)</f>
        <v>#REF!</v>
      </c>
      <c r="D28" s="10"/>
      <c r="E28" s="10" t="e">
        <f ca="1">IF(SUM($C25:E25)-SUM($C27:E27)&lt;0,-SUM($C28:D28),((SUM($C25:E25)-SUM($C27:E27))*Assumptions!$B$32)-SUM($C28:D28))</f>
        <v>#REF!</v>
      </c>
      <c r="F28" s="10" t="e">
        <f ca="1">IF(SUM($C25:F25)-SUM($C27:F27)&lt;0,-SUM($C28:E28),((SUM($C25:F25)-SUM($C27:F27))*Assumptions!$B$32)-SUM($C28:E28))</f>
        <v>#REF!</v>
      </c>
      <c r="G28" s="10" t="e">
        <f ca="1">IF(SUM($C25:G25)-SUM($C27:G27)&lt;0,-SUM($C28:F28),((SUM($C25:G25)-SUM($C27:G27))*Assumptions!$B$32)-SUM($C28:F28))</f>
        <v>#REF!</v>
      </c>
      <c r="H28" s="10" t="e">
        <f ca="1">IF(SUM($C25:H25)-SUM($C27:H27)&lt;0,-SUM($C28:G28),((SUM($C25:H25)-SUM($C27:H27))*Assumptions!$B$32)-SUM($C28:G28))</f>
        <v>#REF!</v>
      </c>
      <c r="I28" s="10" t="e">
        <f ca="1">IF(SUM($C25:I25)-SUM($C27:I27)&lt;0,-SUM($C28:H28),((SUM($C25:I25)-SUM($C27:I27))*Assumptions!$B$32)-SUM($C28:H28))</f>
        <v>#REF!</v>
      </c>
      <c r="J28" s="10" t="e">
        <f ca="1">IF(SUM($C25:J25)-SUM($C27:J27)&lt;0,-SUM($C28:I28),((SUM($C25:J25)-SUM($C27:J27))*Assumptions!$B$32)-SUM($C28:I28))</f>
        <v>#REF!</v>
      </c>
      <c r="K28" s="10" t="e">
        <f ca="1">IF(SUM($C25:K25)-SUM($C27:K27)&lt;0,-SUM($C28:J28),((SUM($C25:K25)-SUM($C27:K27))*Assumptions!$B$32)-SUM($C28:J28))</f>
        <v>#REF!</v>
      </c>
      <c r="L28" s="10" t="e">
        <f ca="1">IF(SUM($C25:L25)-SUM($C27:L27)&lt;0,-SUM($C28:K28),((SUM($C25:L25)-SUM($C27:L27))*Assumptions!$B$32)-SUM($C28:K28))</f>
        <v>#REF!</v>
      </c>
      <c r="M28" s="10" t="e">
        <f ca="1">IF(SUM($C25:M25)-SUM($C27:M27)&lt;0,-SUM($C28:L28),((SUM($C25:M25)-SUM($C27:M27))*Assumptions!$B$32)-SUM($C28:L28))</f>
        <v>#REF!</v>
      </c>
      <c r="N28" s="10" t="e">
        <f ca="1">IF(SUM($C25:N25)-SUM($C27:N27)&lt;0,-SUM($C28:M28),((SUM($C25:N25)-SUM($C27:N27))*Assumptions!$B$32)-SUM($C28:M28))</f>
        <v>#REF!</v>
      </c>
      <c r="O28" s="51" t="e">
        <f ca="1">SUM(C28:N28)</f>
        <v>#REF!</v>
      </c>
      <c r="P28" s="10" t="e">
        <f ca="1">IF(SUM($P25:P25)-SUM($P27:P27)+SUM($C$25:$N$25)-SUM($C$27:$N$27)&lt;0,-SUM($C$28:$N$28),((SUM($P25:P25)-SUM($P27:P27)+SUM($C$25:$N$25)-SUM($C$27:$N$27))*Assumptions!$B$32)-SUM($C$28:$N$28))</f>
        <v>#REF!</v>
      </c>
      <c r="Q28" s="10" t="e">
        <f ca="1">IF(SUM($P25:Q25)-SUM($P27:Q27)+SUM($C$25:$N$25)-SUM($C$27:$N$27)&lt;0,-(SUM($C$28:$N28)+SUM($P28:P28)),((SUM($P25:Q25)-SUM($P27:Q27)+SUM($C$25:$N$25)-SUM($C$27:$N$27))*Assumptions!$B$32)-(SUM($C$28:$N28)+SUM($P28:P28)))</f>
        <v>#REF!</v>
      </c>
      <c r="R28" s="10" t="e">
        <f ca="1">IF(SUM($P25:R25)-SUM($P27:R27)+SUM($C$25:$N$25)-SUM($C$27:$N$27)&lt;0,-(SUM($C$28:$N28)+SUM($P28:Q28)),((SUM($P25:R25)-SUM($P27:R27)+SUM($C$25:$N$25)-SUM($C$27:$N$27))*Assumptions!$B$32)-(SUM($C$28:$N28)+SUM($P28:Q28)))</f>
        <v>#REF!</v>
      </c>
      <c r="S28" s="10" t="e">
        <f ca="1">IF(SUM($P25:S25)-SUM($P27:S27)+SUM($C$25:$N$25)-SUM($C$27:$N$27)&lt;0,-(SUM($C$28:$N28)+SUM($P28:R28)),((SUM($P25:S25)-SUM($P27:S27)+SUM($C$25:$N$25)-SUM($C$27:$N$27))*Assumptions!$B$32)-(SUM($C$28:$N28)+SUM($P28:R28)))</f>
        <v>#REF!</v>
      </c>
      <c r="T28" s="10" t="e">
        <f ca="1">IF(SUM($P25:T25)-SUM($P27:T27)+SUM($C$25:$N$25)-SUM($C$27:$N$27)&lt;0,-(SUM($C$28:$N28)+SUM($P28:S28)),((SUM($P25:T25)-SUM($P27:T27)+SUM($C$25:$N$25)-SUM($C$27:$N$27))*Assumptions!$B$32)-(SUM($C$28:$N28)+SUM($P28:S28)))</f>
        <v>#REF!</v>
      </c>
      <c r="U28" s="10" t="e">
        <f ca="1">IF(SUM($P25:U25)-SUM($P27:U27)+SUM($C$25:$N$25)-SUM($C$27:$N$27)&lt;0,-(SUM($C$28:$N28)+SUM($P28:T28)),((SUM($P25:U25)-SUM($P27:U27)+SUM($C$25:$N$25)-SUM($C$27:$N$27))*Assumptions!$B$32)-(SUM($C$28:$N28)+SUM($P28:T28)))</f>
        <v>#REF!</v>
      </c>
      <c r="V28" s="10" t="e">
        <f ca="1">IF(SUM($P25:V25)-SUM($P27:V27)+SUM($C$25:$N$25)-SUM($C$27:$N$27)&lt;0,-(SUM($C$28:$N28)+SUM($P28:U28)),((SUM($P25:V25)-SUM($P27:V27)+SUM($C$25:$N$25)-SUM($C$27:$N$27))*Assumptions!$B$32)-(SUM($C$28:$N28)+SUM($P28:U28)))</f>
        <v>#REF!</v>
      </c>
      <c r="W28" s="10" t="e">
        <f ca="1">IF(SUM($P25:W25)-SUM($P27:W27)+SUM($C$25:$N$25)-SUM($C$27:$N$27)&lt;0,-(SUM($C$28:$N28)+SUM($P28:V28)),((SUM($P25:W25)-SUM($P27:W27)+SUM($C$25:$N$25)-SUM($C$27:$N$27))*Assumptions!$B$32)-(SUM($C$28:$N28)+SUM($P28:V28)))</f>
        <v>#REF!</v>
      </c>
      <c r="X28" s="10" t="e">
        <f ca="1">IF(SUM($P25:X25)-SUM($P27:X27)+SUM($C$25:$N$25)-SUM($C$27:$N$27)&lt;0,-(SUM($C$28:$N28)+SUM($P28:W28)),((SUM($P25:X25)-SUM($P27:X27)+SUM($C$25:$N$25)-SUM($C$27:$N$27))*Assumptions!$B$32)-(SUM($C$28:$N28)+SUM($P28:W28)))</f>
        <v>#REF!</v>
      </c>
      <c r="Y28" s="10" t="e">
        <f ca="1">IF(SUM($P25:Y25)-SUM($P27:Y27)+SUM($C$25:$N$25)-SUM($C$27:$N$27)&lt;0,-(SUM($C$28:$N28)+SUM($P28:X28)),((SUM($P25:Y25)-SUM($P27:Y27)+SUM($C$25:$N$25)-SUM($C$27:$N$27))*Assumptions!$B$32)-(SUM($C$28:$N28)+SUM($P28:X28)))</f>
        <v>#REF!</v>
      </c>
      <c r="Z28" s="10" t="e">
        <f ca="1">IF(SUM($P25:Z25)-SUM($P27:Z27)+SUM($C$25:$N$25)-SUM($C$27:$N$27)&lt;0,-(SUM($C$28:$N28)+SUM($P28:Y28)),((SUM($P25:Z25)-SUM($P27:Z27)+SUM($C$25:$N$25)-SUM($C$27:$N$27))*Assumptions!$B$32)-(SUM($C$28:$N28)+SUM($P28:Y28)))</f>
        <v>#REF!</v>
      </c>
      <c r="AA28" s="10" t="e">
        <f ca="1">IF(SUM($P25:AA25)-SUM($P27:AA27)+SUM($C$25:$N$25)-SUM($C$27:$N$27)&lt;0,-(SUM($C$28:$N28)+SUM($P28:Z28)),((SUM($P25:AA25)-SUM($P27:AA27)+SUM($C$25:$N$25)-SUM($C$27:$N$27))*Assumptions!$B$32)-(SUM($C$28:$N28)+SUM($P28:Z28)))</f>
        <v>#REF!</v>
      </c>
      <c r="AB28" s="51" t="e">
        <f ca="1">SUM(P28:AA28)</f>
        <v>#REF!</v>
      </c>
      <c r="AC28" s="10" t="e">
        <f ca="1">IF(SUM($AC25:AC25)-SUM($AC27:AC27)+SUM($C$25:$N$25)-SUM($C$27:$N$27)+SUM($P$25:$AA$25)-SUM($P$27:$AA$27)&lt;0,-(SUM($C$28:$N$28)+SUM($P$28:$AA$28)),((SUM($AC25:AC25)-SUM($AC27:AC27)+SUM($C$25:$N$25)-SUM($C$27:$N$27)+SUM($P$25:$AA$25)-SUM($P$27:$AA$27))*Assumptions!$B$32)-(SUM($C$28:$N$28)+SUM($P$28:$AA$28)))</f>
        <v>#REF!</v>
      </c>
      <c r="AD28" s="10" t="e">
        <f ca="1">IF(SUM($AC25:AD25)-SUM($AC27:AD27)+SUM($C$25:$N$25)-SUM($C$27:$N$27)+SUM($P$25:$AA$25)-SUM($P$27:$AA$27)&lt;0,-(SUM($C$28:$N$28)+SUM($P$28:$AA$28)+SUM($AC$28:AC28)),((SUM($AC25:AD25)-SUM($AC27:AD27)+SUM($C$25:$N$25)-SUM($C$27:$N$27)+SUM($P$25:$AA$25)-SUM($P$27:$AA$27))*Assumptions!$B$32)-(SUM($C$28:$N$28)+SUM($P$28:$AA$28)+SUM($AC$28:AC28)))</f>
        <v>#REF!</v>
      </c>
      <c r="AE28" s="10" t="e">
        <f ca="1">IF(SUM($AC25:AE25)-SUM($AC27:AE27)+SUM($C$25:$N$25)-SUM($C$27:$N$27)+SUM($P$25:$AA$25)-SUM($P$27:$AA$27)&lt;0,-(SUM($C$28:$N$28)+SUM($P$28:$AA$28)+SUM($AC$28:AD28)),((SUM($AC25:AE25)-SUM($AC27:AE27)+SUM($C$25:$N$25)-SUM($C$27:$N$27)+SUM($P$25:$AA$25)-SUM($P$27:$AA$27))*Assumptions!$B$32)-(SUM($C$28:$N$28)+SUM($P$28:$AA$28)+SUM($AC$28:AD28)))</f>
        <v>#REF!</v>
      </c>
      <c r="AF28" s="10" t="e">
        <f ca="1">IF(SUM($AC25:AF25)-SUM($AC27:AF27)+SUM($C$25:$N$25)-SUM($C$27:$N$27)+SUM($P$25:$AA$25)-SUM($P$27:$AA$27)&lt;0,-(SUM($C$28:$N$28)+SUM($P$28:$AA$28)+SUM($AC$28:AE28)),((SUM($AC25:AF25)-SUM($AC27:AF27)+SUM($C$25:$N$25)-SUM($C$27:$N$27)+SUM($P$25:$AA$25)-SUM($P$27:$AA$27))*Assumptions!$B$32)-(SUM($C$28:$N$28)+SUM($P$28:$AA$28)+SUM($AC$28:AE28)))</f>
        <v>#REF!</v>
      </c>
      <c r="AG28" s="10" t="e">
        <f ca="1">IF(SUM($AC25:AG25)-SUM($AC27:AG27)+SUM($C$25:$N$25)-SUM($C$27:$N$27)+SUM($P$25:$AA$25)-SUM($P$27:$AA$27)&lt;0,-(SUM($C$28:$N$28)+SUM($P$28:$AA$28)+SUM($AC$28:AF28)),((SUM($AC25:AG25)-SUM($AC27:AG27)+SUM($C$25:$N$25)-SUM($C$27:$N$27)+SUM($P$25:$AA$25)-SUM($P$27:$AA$27))*Assumptions!$B$32)-(SUM($C$28:$N$28)+SUM($P$28:$AA$28)+SUM($AC$28:AF28)))</f>
        <v>#REF!</v>
      </c>
      <c r="AH28" s="10" t="e">
        <f ca="1">IF(SUM($AC25:AH25)-SUM($AC27:AH27)+SUM($C$25:$N$25)-SUM($C$27:$N$27)+SUM($P$25:$AA$25)-SUM($P$27:$AA$27)&lt;0,-(SUM($C$28:$N$28)+SUM($P$28:$AA$28)+SUM($AC$28:AG28)),((SUM($AC25:AH25)-SUM($AC27:AH27)+SUM($C$25:$N$25)-SUM($C$27:$N$27)+SUM($P$25:$AA$25)-SUM($P$27:$AA$27))*Assumptions!$B$32)-(SUM($C$28:$N$28)+SUM($P$28:$AA$28)+SUM($AC$28:AG28)))</f>
        <v>#REF!</v>
      </c>
      <c r="AI28" s="10" t="e">
        <f ca="1">IF(SUM($AC25:AI25)-SUM($AC27:AI27)+SUM($C$25:$N$25)-SUM($C$27:$N$27)+SUM($P$25:$AA$25)-SUM($P$27:$AA$27)&lt;0,-(SUM($C$28:$N$28)+SUM($P$28:$AA$28)+SUM($AC$28:AH28)),((SUM($AC25:AI25)-SUM($AC27:AI27)+SUM($C$25:$N$25)-SUM($C$27:$N$27)+SUM($P$25:$AA$25)-SUM($P$27:$AA$27))*Assumptions!$B$32)-(SUM($C$28:$N$28)+SUM($P$28:$AA$28)+SUM($AC$28:AH28)))</f>
        <v>#REF!</v>
      </c>
      <c r="AJ28" s="10" t="e">
        <f ca="1">IF(SUM($AC25:AJ25)-SUM($AC27:AJ27)+SUM($C$25:$N$25)-SUM($C$27:$N$27)+SUM($P$25:$AA$25)-SUM($P$27:$AA$27)&lt;0,-(SUM($C$28:$N$28)+SUM($P$28:$AA$28)+SUM($AC$28:AI28)),((SUM($AC25:AJ25)-SUM($AC27:AJ27)+SUM($C$25:$N$25)-SUM($C$27:$N$27)+SUM($P$25:$AA$25)-SUM($P$27:$AA$27))*Assumptions!$B$32)-(SUM($C$28:$N$28)+SUM($P$28:$AA$28)+SUM($AC$28:AI28)))</f>
        <v>#REF!</v>
      </c>
      <c r="AK28" s="10" t="e">
        <f ca="1">IF(SUM($AC25:AK25)-SUM($AC27:AK27)+SUM($C$25:$N$25)-SUM($C$27:$N$27)+SUM($P$25:$AA$25)-SUM($P$27:$AA$27)&lt;0,-(SUM($C$28:$N$28)+SUM($P$28:$AA$28)+SUM($AC$28:AJ28)),((SUM($AC25:AK25)-SUM($AC27:AK27)+SUM($C$25:$N$25)-SUM($C$27:$N$27)+SUM($P$25:$AA$25)-SUM($P$27:$AA$27))*Assumptions!$B$32)-(SUM($C$28:$N$28)+SUM($P$28:$AA$28)+SUM($AC$28:AJ28)))</f>
        <v>#REF!</v>
      </c>
      <c r="AL28" s="10" t="e">
        <f ca="1">IF(SUM($AC25:AL25)-SUM($AC27:AL27)+SUM($C$25:$N$25)-SUM($C$27:$N$27)+SUM($P$25:$AA$25)-SUM($P$27:$AA$27)&lt;0,-(SUM($C$28:$N$28)+SUM($P$28:$AA$28)+SUM($AC$28:AK28)),((SUM($AC25:AL25)-SUM($AC27:AL27)+SUM($C$25:$N$25)-SUM($C$27:$N$27)+SUM($P$25:$AA$25)-SUM($P$27:$AA$27))*Assumptions!$B$32)-(SUM($C$28:$N$28)+SUM($P$28:$AA$28)+SUM($AC$28:AK28)))</f>
        <v>#REF!</v>
      </c>
      <c r="AM28" s="10" t="e">
        <f ca="1">IF(SUM($AC25:AM25)-SUM($AC27:AM27)+SUM($C$25:$N$25)-SUM($C$27:$N$27)+SUM($P$25:$AA$25)-SUM($P$27:$AA$27)&lt;0,-(SUM($C$28:$N$28)+SUM($P$28:$AA$28)+SUM($AC$28:AL28)),((SUM($AC25:AM25)-SUM($AC27:AM27)+SUM($C$25:$N$25)-SUM($C$27:$N$27)+SUM($P$25:$AA$25)-SUM($P$27:$AA$27))*Assumptions!$B$32)-(SUM($C$28:$N$28)+SUM($P$28:$AA$28)+SUM($AC$28:AL28)))</f>
        <v>#REF!</v>
      </c>
      <c r="AN28" s="10" t="e">
        <f ca="1">IF(SUM($AC25:AN25)-SUM($AC27:AN27)+SUM($C$25:$N$25)-SUM($C$27:$N$27)+SUM($P$25:$AA$25)-SUM($P$27:$AA$27)&lt;0,-(SUM($C$28:$N$28)+SUM($P$28:$AA$28)+SUM($AC$28:AM28)),((SUM($AC25:AN25)-SUM($AC27:AN27)+SUM($C$25:$N$25)-SUM($C$27:$N$27)+SUM($P$25:$AA$25)-SUM($P$27:$AA$27))*Assumptions!$B$32)-(SUM($C$28:$N$28)+SUM($P$28:$AA$28)+SUM($AC$28:AM28)))</f>
        <v>#REF!</v>
      </c>
      <c r="AO28" s="51" t="e">
        <f ca="1">SUM(AC28:AN28)</f>
        <v>#REF!</v>
      </c>
    </row>
    <row r="29" spans="1:41" ht="15" customHeight="1" x14ac:dyDescent="0.2">
      <c r="C29" s="10"/>
      <c r="D29" s="51" t="e">
        <f ca="1">SUM(#REF!,-D26,-D27)</f>
        <v>#REF!</v>
      </c>
      <c r="E29" s="10"/>
      <c r="F29" s="10"/>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row>
    <row r="30" spans="1:41" ht="15" customHeight="1" x14ac:dyDescent="0.2">
      <c r="B30" s="37" t="s">
        <v>54</v>
      </c>
      <c r="C30" s="51" t="e">
        <f ca="1">SUM(C25,-C27,-C28)</f>
        <v>#REF!</v>
      </c>
      <c r="D30" s="54"/>
      <c r="E30" s="51" t="e">
        <f t="shared" ref="E30:AO30" ca="1" si="11">SUM(E25,-E27,-E28)</f>
        <v>#REF!</v>
      </c>
      <c r="F30" s="51" t="e">
        <f t="shared" ca="1" si="11"/>
        <v>#REF!</v>
      </c>
      <c r="G30" s="51" t="e">
        <f t="shared" ca="1" si="11"/>
        <v>#REF!</v>
      </c>
      <c r="H30" s="51" t="e">
        <f t="shared" ca="1" si="11"/>
        <v>#REF!</v>
      </c>
      <c r="I30" s="51" t="e">
        <f t="shared" ca="1" si="11"/>
        <v>#REF!</v>
      </c>
      <c r="J30" s="51" t="e">
        <f t="shared" ca="1" si="11"/>
        <v>#REF!</v>
      </c>
      <c r="K30" s="51" t="e">
        <f t="shared" ca="1" si="11"/>
        <v>#REF!</v>
      </c>
      <c r="L30" s="51" t="e">
        <f t="shared" ca="1" si="11"/>
        <v>#REF!</v>
      </c>
      <c r="M30" s="51" t="e">
        <f t="shared" ca="1" si="11"/>
        <v>#REF!</v>
      </c>
      <c r="N30" s="51" t="e">
        <f t="shared" ca="1" si="11"/>
        <v>#REF!</v>
      </c>
      <c r="O30" s="51" t="e">
        <f t="shared" ca="1" si="11"/>
        <v>#REF!</v>
      </c>
      <c r="P30" s="51" t="e">
        <f t="shared" ca="1" si="11"/>
        <v>#REF!</v>
      </c>
      <c r="Q30" s="51" t="e">
        <f t="shared" ca="1" si="11"/>
        <v>#REF!</v>
      </c>
      <c r="R30" s="51" t="e">
        <f t="shared" ca="1" si="11"/>
        <v>#REF!</v>
      </c>
      <c r="S30" s="51" t="e">
        <f t="shared" ca="1" si="11"/>
        <v>#REF!</v>
      </c>
      <c r="T30" s="51" t="e">
        <f t="shared" ca="1" si="11"/>
        <v>#REF!</v>
      </c>
      <c r="U30" s="51" t="e">
        <f t="shared" ca="1" si="11"/>
        <v>#REF!</v>
      </c>
      <c r="V30" s="51" t="e">
        <f t="shared" ca="1" si="11"/>
        <v>#REF!</v>
      </c>
      <c r="W30" s="51" t="e">
        <f t="shared" ca="1" si="11"/>
        <v>#REF!</v>
      </c>
      <c r="X30" s="51" t="e">
        <f t="shared" ca="1" si="11"/>
        <v>#REF!</v>
      </c>
      <c r="Y30" s="51" t="e">
        <f t="shared" ca="1" si="11"/>
        <v>#REF!</v>
      </c>
      <c r="Z30" s="51" t="e">
        <f t="shared" ca="1" si="11"/>
        <v>#REF!</v>
      </c>
      <c r="AA30" s="51" t="e">
        <f t="shared" ca="1" si="11"/>
        <v>#REF!</v>
      </c>
      <c r="AB30" s="51" t="e">
        <f t="shared" ca="1" si="11"/>
        <v>#REF!</v>
      </c>
      <c r="AC30" s="51" t="e">
        <f t="shared" ca="1" si="11"/>
        <v>#REF!</v>
      </c>
      <c r="AD30" s="51" t="e">
        <f t="shared" ca="1" si="11"/>
        <v>#REF!</v>
      </c>
      <c r="AE30" s="51" t="e">
        <f t="shared" ca="1" si="11"/>
        <v>#REF!</v>
      </c>
      <c r="AF30" s="51" t="e">
        <f t="shared" ca="1" si="11"/>
        <v>#REF!</v>
      </c>
      <c r="AG30" s="51" t="e">
        <f t="shared" ca="1" si="11"/>
        <v>#REF!</v>
      </c>
      <c r="AH30" s="51" t="e">
        <f t="shared" ca="1" si="11"/>
        <v>#REF!</v>
      </c>
      <c r="AI30" s="51" t="e">
        <f t="shared" ca="1" si="11"/>
        <v>#REF!</v>
      </c>
      <c r="AJ30" s="51" t="e">
        <f t="shared" ca="1" si="11"/>
        <v>#REF!</v>
      </c>
      <c r="AK30" s="51" t="e">
        <f t="shared" ca="1" si="11"/>
        <v>#REF!</v>
      </c>
      <c r="AL30" s="51" t="e">
        <f t="shared" ca="1" si="11"/>
        <v>#REF!</v>
      </c>
      <c r="AM30" s="51" t="e">
        <f t="shared" ca="1" si="11"/>
        <v>#REF!</v>
      </c>
      <c r="AN30" s="51" t="e">
        <f t="shared" ca="1" si="11"/>
        <v>#REF!</v>
      </c>
      <c r="AO30" s="51" t="e">
        <f t="shared" ca="1" si="11"/>
        <v>#REF!</v>
      </c>
    </row>
    <row r="31" spans="1:41" ht="15" customHeight="1" x14ac:dyDescent="0.2">
      <c r="B31" s="37"/>
      <c r="C31" s="54"/>
      <c r="D31" s="63"/>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row>
    <row r="32" spans="1:41" ht="15" customHeight="1" x14ac:dyDescent="0.2">
      <c r="B32" s="37"/>
      <c r="C32" s="63"/>
      <c r="E32" s="63"/>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row>
    <row r="33" spans="2:41" ht="15.75" x14ac:dyDescent="0.25">
      <c r="B33" s="5" t="str">
        <f>Assumptions!$B$4</f>
        <v>TALK Toastmasters Manurewa</v>
      </c>
    </row>
    <row r="34" spans="2:41" ht="15" customHeight="1" x14ac:dyDescent="0.2">
      <c r="B34" s="8" t="s">
        <v>56</v>
      </c>
    </row>
    <row r="35" spans="2:41" ht="15" customHeight="1" x14ac:dyDescent="0.2">
      <c r="B35" s="38"/>
      <c r="D35" s="46">
        <f ca="1">DATE(YEAR(C36),MONTH(C36)+2,0)</f>
        <v>45900</v>
      </c>
    </row>
    <row r="36" spans="2:41" s="44" customFormat="1" ht="18" customHeight="1" x14ac:dyDescent="0.2">
      <c r="B36" s="45"/>
      <c r="C36" s="46">
        <f ca="1">IF(ISBLANK(Assumptions!$B$5)=TRUE,DATE(YEAR(TODAY()),MONTH(TODAY())+1,0),DATE(YEAR(Assumptions!$B$5),MONTH(Assumptions!$B$5)+1,0))</f>
        <v>45869</v>
      </c>
      <c r="D36" s="10"/>
      <c r="E36" s="46">
        <f ca="1">DATE(YEAR(D35),MONTH(D35)+2,0)</f>
        <v>45930</v>
      </c>
      <c r="F36" s="46">
        <f t="shared" ref="F36:N36" ca="1" si="12">DATE(YEAR(E36),MONTH(E36)+2,0)</f>
        <v>45961</v>
      </c>
      <c r="G36" s="46">
        <f t="shared" ca="1" si="12"/>
        <v>45991</v>
      </c>
      <c r="H36" s="46">
        <f t="shared" ca="1" si="12"/>
        <v>46022</v>
      </c>
      <c r="I36" s="46">
        <f t="shared" ca="1" si="12"/>
        <v>46053</v>
      </c>
      <c r="J36" s="46">
        <f t="shared" ca="1" si="12"/>
        <v>46081</v>
      </c>
      <c r="K36" s="46">
        <f t="shared" ca="1" si="12"/>
        <v>46112</v>
      </c>
      <c r="L36" s="46">
        <f t="shared" ca="1" si="12"/>
        <v>46142</v>
      </c>
      <c r="M36" s="46">
        <f t="shared" ca="1" si="12"/>
        <v>46173</v>
      </c>
      <c r="N36" s="46">
        <f t="shared" ca="1" si="12"/>
        <v>46203</v>
      </c>
      <c r="O36" s="47" t="str">
        <f ca="1">"Year "&amp;YEAR(N36)</f>
        <v>Year 2026</v>
      </c>
      <c r="P36" s="46">
        <f ca="1">DATE(YEAR(N36),MONTH(N36)+2,0)</f>
        <v>46234</v>
      </c>
      <c r="Q36" s="46">
        <f t="shared" ref="Q36:AA36" ca="1" si="13">DATE(YEAR(P36),MONTH(P36)+2,0)</f>
        <v>46265</v>
      </c>
      <c r="R36" s="46">
        <f t="shared" ca="1" si="13"/>
        <v>46295</v>
      </c>
      <c r="S36" s="46">
        <f t="shared" ca="1" si="13"/>
        <v>46326</v>
      </c>
      <c r="T36" s="46">
        <f t="shared" ca="1" si="13"/>
        <v>46356</v>
      </c>
      <c r="U36" s="46">
        <f t="shared" ca="1" si="13"/>
        <v>46387</v>
      </c>
      <c r="V36" s="46">
        <f t="shared" ca="1" si="13"/>
        <v>46418</v>
      </c>
      <c r="W36" s="46">
        <f t="shared" ca="1" si="13"/>
        <v>46446</v>
      </c>
      <c r="X36" s="46">
        <f t="shared" ca="1" si="13"/>
        <v>46477</v>
      </c>
      <c r="Y36" s="46">
        <f t="shared" ca="1" si="13"/>
        <v>46507</v>
      </c>
      <c r="Z36" s="46">
        <f t="shared" ca="1" si="13"/>
        <v>46538</v>
      </c>
      <c r="AA36" s="46">
        <f t="shared" ca="1" si="13"/>
        <v>46568</v>
      </c>
      <c r="AB36" s="47" t="str">
        <f ca="1">"Year "&amp;YEAR(AA36)</f>
        <v>Year 2027</v>
      </c>
      <c r="AC36" s="46">
        <f ca="1">DATE(YEAR(AA36),MONTH(AA36)+2,0)</f>
        <v>46599</v>
      </c>
      <c r="AD36" s="46">
        <f t="shared" ref="AD36:AN36" ca="1" si="14">DATE(YEAR(AC36),MONTH(AC36)+2,0)</f>
        <v>46630</v>
      </c>
      <c r="AE36" s="46">
        <f t="shared" ca="1" si="14"/>
        <v>46660</v>
      </c>
      <c r="AF36" s="46">
        <f t="shared" ca="1" si="14"/>
        <v>46691</v>
      </c>
      <c r="AG36" s="46">
        <f t="shared" ca="1" si="14"/>
        <v>46721</v>
      </c>
      <c r="AH36" s="46">
        <f t="shared" ca="1" si="14"/>
        <v>46752</v>
      </c>
      <c r="AI36" s="46">
        <f t="shared" ca="1" si="14"/>
        <v>46783</v>
      </c>
      <c r="AJ36" s="46">
        <f t="shared" ca="1" si="14"/>
        <v>46812</v>
      </c>
      <c r="AK36" s="46">
        <f t="shared" ca="1" si="14"/>
        <v>46843</v>
      </c>
      <c r="AL36" s="46">
        <f t="shared" ca="1" si="14"/>
        <v>46873</v>
      </c>
      <c r="AM36" s="46">
        <f t="shared" ca="1" si="14"/>
        <v>46904</v>
      </c>
      <c r="AN36" s="46">
        <f t="shared" ca="1" si="14"/>
        <v>46934</v>
      </c>
      <c r="AO36" s="47" t="str">
        <f ca="1">"Year "&amp;YEAR(AN36)</f>
        <v>Year 2028</v>
      </c>
    </row>
    <row r="37" spans="2:41" ht="15" customHeight="1" x14ac:dyDescent="0.2">
      <c r="B37" s="37" t="s">
        <v>57</v>
      </c>
      <c r="C37" s="10"/>
      <c r="D37" s="10" t="e">
        <f t="shared" ref="D37:AN38" ca="1" si="15">D29</f>
        <v>#REF!</v>
      </c>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row>
    <row r="38" spans="2:41" ht="15" customHeight="1" x14ac:dyDescent="0.2">
      <c r="B38" s="22" t="s">
        <v>54</v>
      </c>
      <c r="C38" s="10" t="e">
        <f ca="1">C30</f>
        <v>#REF!</v>
      </c>
      <c r="D38" s="10">
        <f t="shared" ref="D38:AN39" si="16">D26</f>
        <v>0</v>
      </c>
      <c r="E38" s="10" t="e">
        <f t="shared" ca="1" si="15"/>
        <v>#REF!</v>
      </c>
      <c r="F38" s="10" t="e">
        <f t="shared" ca="1" si="15"/>
        <v>#REF!</v>
      </c>
      <c r="G38" s="10" t="e">
        <f t="shared" ca="1" si="15"/>
        <v>#REF!</v>
      </c>
      <c r="H38" s="10" t="e">
        <f t="shared" ca="1" si="15"/>
        <v>#REF!</v>
      </c>
      <c r="I38" s="10" t="e">
        <f t="shared" ca="1" si="15"/>
        <v>#REF!</v>
      </c>
      <c r="J38" s="10" t="e">
        <f t="shared" ca="1" si="15"/>
        <v>#REF!</v>
      </c>
      <c r="K38" s="10" t="e">
        <f t="shared" ca="1" si="15"/>
        <v>#REF!</v>
      </c>
      <c r="L38" s="10" t="e">
        <f t="shared" ca="1" si="15"/>
        <v>#REF!</v>
      </c>
      <c r="M38" s="10" t="e">
        <f t="shared" ca="1" si="15"/>
        <v>#REF!</v>
      </c>
      <c r="N38" s="10" t="e">
        <f t="shared" ca="1" si="15"/>
        <v>#REF!</v>
      </c>
      <c r="O38" s="10" t="e">
        <f ca="1">SUM(C38:N38)</f>
        <v>#REF!</v>
      </c>
      <c r="P38" s="10" t="e">
        <f t="shared" ca="1" si="15"/>
        <v>#REF!</v>
      </c>
      <c r="Q38" s="10" t="e">
        <f t="shared" ca="1" si="15"/>
        <v>#REF!</v>
      </c>
      <c r="R38" s="10" t="e">
        <f t="shared" ca="1" si="15"/>
        <v>#REF!</v>
      </c>
      <c r="S38" s="10" t="e">
        <f t="shared" ca="1" si="15"/>
        <v>#REF!</v>
      </c>
      <c r="T38" s="10" t="e">
        <f t="shared" ca="1" si="15"/>
        <v>#REF!</v>
      </c>
      <c r="U38" s="10" t="e">
        <f t="shared" ca="1" si="15"/>
        <v>#REF!</v>
      </c>
      <c r="V38" s="10" t="e">
        <f t="shared" ca="1" si="15"/>
        <v>#REF!</v>
      </c>
      <c r="W38" s="10" t="e">
        <f t="shared" ca="1" si="15"/>
        <v>#REF!</v>
      </c>
      <c r="X38" s="10" t="e">
        <f t="shared" ca="1" si="15"/>
        <v>#REF!</v>
      </c>
      <c r="Y38" s="10" t="e">
        <f t="shared" ca="1" si="15"/>
        <v>#REF!</v>
      </c>
      <c r="Z38" s="10" t="e">
        <f t="shared" ca="1" si="15"/>
        <v>#REF!</v>
      </c>
      <c r="AA38" s="10" t="e">
        <f t="shared" ca="1" si="15"/>
        <v>#REF!</v>
      </c>
      <c r="AB38" s="10" t="e">
        <f ca="1">SUM(P38:AA38)</f>
        <v>#REF!</v>
      </c>
      <c r="AC38" s="10" t="e">
        <f t="shared" ca="1" si="15"/>
        <v>#REF!</v>
      </c>
      <c r="AD38" s="10" t="e">
        <f t="shared" ca="1" si="15"/>
        <v>#REF!</v>
      </c>
      <c r="AE38" s="10" t="e">
        <f t="shared" ca="1" si="15"/>
        <v>#REF!</v>
      </c>
      <c r="AF38" s="10" t="e">
        <f t="shared" ca="1" si="15"/>
        <v>#REF!</v>
      </c>
      <c r="AG38" s="10" t="e">
        <f t="shared" ca="1" si="15"/>
        <v>#REF!</v>
      </c>
      <c r="AH38" s="10" t="e">
        <f t="shared" ca="1" si="15"/>
        <v>#REF!</v>
      </c>
      <c r="AI38" s="10" t="e">
        <f t="shared" ca="1" si="15"/>
        <v>#REF!</v>
      </c>
      <c r="AJ38" s="10" t="e">
        <f t="shared" ca="1" si="15"/>
        <v>#REF!</v>
      </c>
      <c r="AK38" s="10" t="e">
        <f t="shared" ca="1" si="15"/>
        <v>#REF!</v>
      </c>
      <c r="AL38" s="10" t="e">
        <f t="shared" ca="1" si="15"/>
        <v>#REF!</v>
      </c>
      <c r="AM38" s="10" t="e">
        <f t="shared" ca="1" si="15"/>
        <v>#REF!</v>
      </c>
      <c r="AN38" s="10" t="e">
        <f t="shared" ca="1" si="15"/>
        <v>#REF!</v>
      </c>
      <c r="AO38" s="10" t="e">
        <f ca="1">SUM(AC38:AN38)</f>
        <v>#REF!</v>
      </c>
    </row>
    <row r="39" spans="2:41" ht="15" customHeight="1" x14ac:dyDescent="0.2">
      <c r="B39" s="22" t="s">
        <v>23</v>
      </c>
      <c r="C39" s="10" t="e">
        <f ca="1">C27</f>
        <v>#REF!</v>
      </c>
      <c r="D39" s="10" t="e">
        <f t="shared" ref="D39:AN40" ca="1" si="17">D27</f>
        <v>#REF!</v>
      </c>
      <c r="E39" s="10" t="e">
        <f t="shared" ca="1" si="16"/>
        <v>#REF!</v>
      </c>
      <c r="F39" s="10" t="e">
        <f t="shared" ca="1" si="16"/>
        <v>#REF!</v>
      </c>
      <c r="G39" s="10" t="e">
        <f t="shared" ca="1" si="16"/>
        <v>#REF!</v>
      </c>
      <c r="H39" s="10" t="e">
        <f t="shared" ca="1" si="16"/>
        <v>#REF!</v>
      </c>
      <c r="I39" s="10" t="e">
        <f t="shared" ca="1" si="16"/>
        <v>#REF!</v>
      </c>
      <c r="J39" s="10" t="e">
        <f t="shared" ca="1" si="16"/>
        <v>#REF!</v>
      </c>
      <c r="K39" s="10" t="e">
        <f t="shared" ca="1" si="16"/>
        <v>#REF!</v>
      </c>
      <c r="L39" s="10" t="e">
        <f t="shared" ca="1" si="16"/>
        <v>#REF!</v>
      </c>
      <c r="M39" s="10" t="e">
        <f t="shared" ca="1" si="16"/>
        <v>#REF!</v>
      </c>
      <c r="N39" s="10" t="e">
        <f t="shared" ca="1" si="16"/>
        <v>#REF!</v>
      </c>
      <c r="O39" s="10" t="e">
        <f ca="1">SUM(C39:N39)</f>
        <v>#REF!</v>
      </c>
      <c r="P39" s="10" t="e">
        <f t="shared" ca="1" si="16"/>
        <v>#REF!</v>
      </c>
      <c r="Q39" s="10" t="e">
        <f t="shared" ca="1" si="16"/>
        <v>#REF!</v>
      </c>
      <c r="R39" s="10" t="e">
        <f t="shared" ca="1" si="16"/>
        <v>#REF!</v>
      </c>
      <c r="S39" s="10" t="e">
        <f t="shared" ca="1" si="16"/>
        <v>#REF!</v>
      </c>
      <c r="T39" s="10" t="e">
        <f t="shared" ca="1" si="16"/>
        <v>#REF!</v>
      </c>
      <c r="U39" s="10" t="e">
        <f t="shared" ca="1" si="16"/>
        <v>#REF!</v>
      </c>
      <c r="V39" s="10" t="e">
        <f t="shared" ca="1" si="16"/>
        <v>#REF!</v>
      </c>
      <c r="W39" s="10" t="e">
        <f t="shared" ca="1" si="16"/>
        <v>#REF!</v>
      </c>
      <c r="X39" s="10" t="e">
        <f t="shared" ca="1" si="16"/>
        <v>#REF!</v>
      </c>
      <c r="Y39" s="10" t="e">
        <f t="shared" ca="1" si="16"/>
        <v>#REF!</v>
      </c>
      <c r="Z39" s="10" t="e">
        <f t="shared" ca="1" si="16"/>
        <v>#REF!</v>
      </c>
      <c r="AA39" s="10" t="e">
        <f t="shared" ca="1" si="16"/>
        <v>#REF!</v>
      </c>
      <c r="AB39" s="10" t="e">
        <f ca="1">SUM(P39:AA39)</f>
        <v>#REF!</v>
      </c>
      <c r="AC39" s="10" t="e">
        <f t="shared" ca="1" si="16"/>
        <v>#REF!</v>
      </c>
      <c r="AD39" s="10" t="e">
        <f t="shared" ca="1" si="16"/>
        <v>#REF!</v>
      </c>
      <c r="AE39" s="10" t="e">
        <f t="shared" ca="1" si="16"/>
        <v>#REF!</v>
      </c>
      <c r="AF39" s="10" t="e">
        <f t="shared" ca="1" si="16"/>
        <v>#REF!</v>
      </c>
      <c r="AG39" s="10" t="e">
        <f t="shared" ca="1" si="16"/>
        <v>#REF!</v>
      </c>
      <c r="AH39" s="10" t="e">
        <f t="shared" ca="1" si="16"/>
        <v>#REF!</v>
      </c>
      <c r="AI39" s="10" t="e">
        <f t="shared" ca="1" si="16"/>
        <v>#REF!</v>
      </c>
      <c r="AJ39" s="10" t="e">
        <f t="shared" ca="1" si="16"/>
        <v>#REF!</v>
      </c>
      <c r="AK39" s="10" t="e">
        <f t="shared" ca="1" si="16"/>
        <v>#REF!</v>
      </c>
      <c r="AL39" s="10" t="e">
        <f t="shared" ca="1" si="16"/>
        <v>#REF!</v>
      </c>
      <c r="AM39" s="10" t="e">
        <f t="shared" ca="1" si="16"/>
        <v>#REF!</v>
      </c>
      <c r="AN39" s="10" t="e">
        <f t="shared" ca="1" si="16"/>
        <v>#REF!</v>
      </c>
      <c r="AO39" s="10" t="e">
        <f ca="1">SUM(AC39:AN39)</f>
        <v>#REF!</v>
      </c>
    </row>
    <row r="40" spans="2:41" ht="15" customHeight="1" x14ac:dyDescent="0.2">
      <c r="B40" s="22" t="s">
        <v>17</v>
      </c>
      <c r="C40" s="10" t="e">
        <f ca="1">C28</f>
        <v>#REF!</v>
      </c>
      <c r="D40" s="10"/>
      <c r="E40" s="10" t="e">
        <f t="shared" ca="1" si="17"/>
        <v>#REF!</v>
      </c>
      <c r="F40" s="10" t="e">
        <f t="shared" ca="1" si="17"/>
        <v>#REF!</v>
      </c>
      <c r="G40" s="10" t="e">
        <f t="shared" ca="1" si="17"/>
        <v>#REF!</v>
      </c>
      <c r="H40" s="10" t="e">
        <f t="shared" ca="1" si="17"/>
        <v>#REF!</v>
      </c>
      <c r="I40" s="10" t="e">
        <f t="shared" ca="1" si="17"/>
        <v>#REF!</v>
      </c>
      <c r="J40" s="10" t="e">
        <f t="shared" ca="1" si="17"/>
        <v>#REF!</v>
      </c>
      <c r="K40" s="10" t="e">
        <f t="shared" ca="1" si="17"/>
        <v>#REF!</v>
      </c>
      <c r="L40" s="10" t="e">
        <f t="shared" ca="1" si="17"/>
        <v>#REF!</v>
      </c>
      <c r="M40" s="10" t="e">
        <f t="shared" ca="1" si="17"/>
        <v>#REF!</v>
      </c>
      <c r="N40" s="10" t="e">
        <f t="shared" ca="1" si="17"/>
        <v>#REF!</v>
      </c>
      <c r="O40" s="10" t="e">
        <f ca="1">SUM(C40:N40)</f>
        <v>#REF!</v>
      </c>
      <c r="P40" s="10" t="e">
        <f t="shared" ca="1" si="17"/>
        <v>#REF!</v>
      </c>
      <c r="Q40" s="10" t="e">
        <f t="shared" ca="1" si="17"/>
        <v>#REF!</v>
      </c>
      <c r="R40" s="10" t="e">
        <f t="shared" ca="1" si="17"/>
        <v>#REF!</v>
      </c>
      <c r="S40" s="10" t="e">
        <f t="shared" ca="1" si="17"/>
        <v>#REF!</v>
      </c>
      <c r="T40" s="10" t="e">
        <f t="shared" ca="1" si="17"/>
        <v>#REF!</v>
      </c>
      <c r="U40" s="10" t="e">
        <f t="shared" ca="1" si="17"/>
        <v>#REF!</v>
      </c>
      <c r="V40" s="10" t="e">
        <f t="shared" ca="1" si="17"/>
        <v>#REF!</v>
      </c>
      <c r="W40" s="10" t="e">
        <f t="shared" ca="1" si="17"/>
        <v>#REF!</v>
      </c>
      <c r="X40" s="10" t="e">
        <f t="shared" ca="1" si="17"/>
        <v>#REF!</v>
      </c>
      <c r="Y40" s="10" t="e">
        <f t="shared" ca="1" si="17"/>
        <v>#REF!</v>
      </c>
      <c r="Z40" s="10" t="e">
        <f t="shared" ca="1" si="17"/>
        <v>#REF!</v>
      </c>
      <c r="AA40" s="10" t="e">
        <f t="shared" ca="1" si="17"/>
        <v>#REF!</v>
      </c>
      <c r="AB40" s="10" t="e">
        <f ca="1">SUM(P40:AA40)</f>
        <v>#REF!</v>
      </c>
      <c r="AC40" s="10" t="e">
        <f t="shared" ca="1" si="17"/>
        <v>#REF!</v>
      </c>
      <c r="AD40" s="10" t="e">
        <f t="shared" ca="1" si="17"/>
        <v>#REF!</v>
      </c>
      <c r="AE40" s="10" t="e">
        <f t="shared" ca="1" si="17"/>
        <v>#REF!</v>
      </c>
      <c r="AF40" s="10" t="e">
        <f t="shared" ca="1" si="17"/>
        <v>#REF!</v>
      </c>
      <c r="AG40" s="10" t="e">
        <f t="shared" ca="1" si="17"/>
        <v>#REF!</v>
      </c>
      <c r="AH40" s="10" t="e">
        <f t="shared" ca="1" si="17"/>
        <v>#REF!</v>
      </c>
      <c r="AI40" s="10" t="e">
        <f t="shared" ca="1" si="17"/>
        <v>#REF!</v>
      </c>
      <c r="AJ40" s="10" t="e">
        <f t="shared" ca="1" si="17"/>
        <v>#REF!</v>
      </c>
      <c r="AK40" s="10" t="e">
        <f t="shared" ca="1" si="17"/>
        <v>#REF!</v>
      </c>
      <c r="AL40" s="10" t="e">
        <f t="shared" ca="1" si="17"/>
        <v>#REF!</v>
      </c>
      <c r="AM40" s="10" t="e">
        <f t="shared" ca="1" si="17"/>
        <v>#REF!</v>
      </c>
      <c r="AN40" s="10" t="e">
        <f t="shared" ca="1" si="17"/>
        <v>#REF!</v>
      </c>
      <c r="AO40" s="10" t="e">
        <f ca="1">SUM(AC40:AN40)</f>
        <v>#REF!</v>
      </c>
    </row>
    <row r="41" spans="2:41" ht="15" customHeight="1" x14ac:dyDescent="0.2">
      <c r="B41" s="8" t="s">
        <v>58</v>
      </c>
      <c r="C41" s="10"/>
      <c r="D41" s="10">
        <f>D23</f>
        <v>0</v>
      </c>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row>
    <row r="42" spans="2:41" ht="15" customHeight="1" x14ac:dyDescent="0.2">
      <c r="B42" s="9" t="s">
        <v>53</v>
      </c>
      <c r="C42" s="10">
        <f>C23</f>
        <v>0</v>
      </c>
      <c r="D42" s="10"/>
      <c r="E42" s="10">
        <f t="shared" ref="E42:AN42" si="18">E23</f>
        <v>0</v>
      </c>
      <c r="F42" s="10">
        <f t="shared" si="18"/>
        <v>0</v>
      </c>
      <c r="G42" s="10">
        <f t="shared" si="18"/>
        <v>0</v>
      </c>
      <c r="H42" s="10">
        <f t="shared" si="18"/>
        <v>0</v>
      </c>
      <c r="I42" s="10">
        <f t="shared" si="18"/>
        <v>0</v>
      </c>
      <c r="J42" s="10">
        <f t="shared" si="18"/>
        <v>1930</v>
      </c>
      <c r="K42" s="10">
        <f t="shared" si="18"/>
        <v>1930</v>
      </c>
      <c r="L42" s="10">
        <f t="shared" si="18"/>
        <v>1930</v>
      </c>
      <c r="M42" s="10">
        <f t="shared" si="18"/>
        <v>1930</v>
      </c>
      <c r="N42" s="10">
        <f t="shared" si="18"/>
        <v>1930</v>
      </c>
      <c r="O42" s="10">
        <f>SUM(C42:N42)</f>
        <v>9650</v>
      </c>
      <c r="P42" s="10">
        <f t="shared" si="18"/>
        <v>1710</v>
      </c>
      <c r="Q42" s="10">
        <f t="shared" si="18"/>
        <v>1710</v>
      </c>
      <c r="R42" s="10">
        <f t="shared" si="18"/>
        <v>1710</v>
      </c>
      <c r="S42" s="10">
        <f t="shared" si="18"/>
        <v>1710</v>
      </c>
      <c r="T42" s="10">
        <f t="shared" si="18"/>
        <v>1710</v>
      </c>
      <c r="U42" s="10">
        <f t="shared" si="18"/>
        <v>1710</v>
      </c>
      <c r="V42" s="10">
        <f t="shared" si="18"/>
        <v>1710</v>
      </c>
      <c r="W42" s="10">
        <f t="shared" si="18"/>
        <v>1780</v>
      </c>
      <c r="X42" s="10">
        <f t="shared" si="18"/>
        <v>1780</v>
      </c>
      <c r="Y42" s="10">
        <f t="shared" si="18"/>
        <v>1780</v>
      </c>
      <c r="Z42" s="10">
        <f t="shared" si="18"/>
        <v>1780</v>
      </c>
      <c r="AA42" s="10">
        <f t="shared" si="18"/>
        <v>1780</v>
      </c>
      <c r="AB42" s="10">
        <f>SUM(P42:AA42)</f>
        <v>20870</v>
      </c>
      <c r="AC42" s="10">
        <f t="shared" si="18"/>
        <v>1430</v>
      </c>
      <c r="AD42" s="10">
        <f t="shared" si="18"/>
        <v>1600</v>
      </c>
      <c r="AE42" s="10">
        <f t="shared" si="18"/>
        <v>1600</v>
      </c>
      <c r="AF42" s="10">
        <f t="shared" si="18"/>
        <v>1600</v>
      </c>
      <c r="AG42" s="10">
        <f t="shared" si="18"/>
        <v>1600</v>
      </c>
      <c r="AH42" s="10">
        <f t="shared" si="18"/>
        <v>1600</v>
      </c>
      <c r="AI42" s="10">
        <f t="shared" si="18"/>
        <v>1600</v>
      </c>
      <c r="AJ42" s="10">
        <f t="shared" si="18"/>
        <v>1600</v>
      </c>
      <c r="AK42" s="10">
        <f t="shared" si="18"/>
        <v>1600</v>
      </c>
      <c r="AL42" s="10">
        <f t="shared" si="18"/>
        <v>1800</v>
      </c>
      <c r="AM42" s="10">
        <f t="shared" si="18"/>
        <v>1800</v>
      </c>
      <c r="AN42" s="10">
        <f t="shared" si="18"/>
        <v>1800</v>
      </c>
      <c r="AO42" s="10">
        <f>SUM(AC42:AN42)</f>
        <v>19630</v>
      </c>
    </row>
    <row r="43" spans="2:41" ht="15" customHeight="1" x14ac:dyDescent="0.2">
      <c r="B43" s="8" t="s">
        <v>59</v>
      </c>
      <c r="C43" s="10"/>
      <c r="D43" s="10">
        <f>BalanceSheets!D8-BalanceSheets!E8</f>
        <v>0</v>
      </c>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row>
    <row r="44" spans="2:41" s="23" customFormat="1" ht="15" customHeight="1" x14ac:dyDescent="0.2">
      <c r="B44" s="22" t="s">
        <v>5</v>
      </c>
      <c r="C44" s="10">
        <f>BalanceSheets!C8-BalanceSheets!D8</f>
        <v>0</v>
      </c>
      <c r="D44" s="10">
        <f ca="1">BalanceSheets!D9-BalanceSheets!E9</f>
        <v>0</v>
      </c>
      <c r="E44" s="10">
        <f>BalanceSheets!E8-BalanceSheets!F8</f>
        <v>0</v>
      </c>
      <c r="F44" s="10">
        <f>BalanceSheets!F8-BalanceSheets!G8</f>
        <v>0</v>
      </c>
      <c r="G44" s="10">
        <f>BalanceSheets!G8-BalanceSheets!H8</f>
        <v>0</v>
      </c>
      <c r="H44" s="10">
        <f>BalanceSheets!H8-BalanceSheets!I8</f>
        <v>0</v>
      </c>
      <c r="I44" s="10">
        <f>BalanceSheets!I8-BalanceSheets!J8</f>
        <v>0</v>
      </c>
      <c r="J44" s="10">
        <f>BalanceSheets!J8-BalanceSheets!K8</f>
        <v>0</v>
      </c>
      <c r="K44" s="10">
        <f>BalanceSheets!K8-BalanceSheets!L8</f>
        <v>0</v>
      </c>
      <c r="L44" s="10">
        <f>BalanceSheets!L8-BalanceSheets!M8</f>
        <v>0</v>
      </c>
      <c r="M44" s="10">
        <f>BalanceSheets!M8-BalanceSheets!N8</f>
        <v>0</v>
      </c>
      <c r="N44" s="10">
        <f>BalanceSheets!N8-BalanceSheets!O8</f>
        <v>0</v>
      </c>
      <c r="O44" s="10">
        <f ca="1">SUM(C44:N44)</f>
        <v>0</v>
      </c>
      <c r="P44" s="10">
        <f>BalanceSheets!O8-BalanceSheets!P8</f>
        <v>0</v>
      </c>
      <c r="Q44" s="10" t="e">
        <f ca="1">BalanceSheets!P8-BalanceSheets!Q8</f>
        <v>#REF!</v>
      </c>
      <c r="R44" s="10" t="e">
        <f ca="1">BalanceSheets!Q8-BalanceSheets!R8</f>
        <v>#REF!</v>
      </c>
      <c r="S44" s="10" t="e">
        <f ca="1">BalanceSheets!R8-BalanceSheets!S8</f>
        <v>#REF!</v>
      </c>
      <c r="T44" s="10" t="e">
        <f ca="1">BalanceSheets!S8-BalanceSheets!T8</f>
        <v>#REF!</v>
      </c>
      <c r="U44" s="10" t="e">
        <f ca="1">BalanceSheets!T8-BalanceSheets!U8</f>
        <v>#REF!</v>
      </c>
      <c r="V44" s="10" t="e">
        <f ca="1">BalanceSheets!U8-BalanceSheets!V8</f>
        <v>#REF!</v>
      </c>
      <c r="W44" s="10" t="e">
        <f ca="1">BalanceSheets!V8-BalanceSheets!W8</f>
        <v>#REF!</v>
      </c>
      <c r="X44" s="10" t="e">
        <f ca="1">BalanceSheets!W8-BalanceSheets!X8</f>
        <v>#REF!</v>
      </c>
      <c r="Y44" s="10" t="e">
        <f ca="1">BalanceSheets!X8-BalanceSheets!Y8</f>
        <v>#REF!</v>
      </c>
      <c r="Z44" s="10" t="e">
        <f ca="1">BalanceSheets!Y8-BalanceSheets!Z8</f>
        <v>#REF!</v>
      </c>
      <c r="AA44" s="10" t="e">
        <f ca="1">BalanceSheets!Z8-BalanceSheets!AA8</f>
        <v>#REF!</v>
      </c>
      <c r="AB44" s="10" t="e">
        <f ca="1">SUM(P44:AA44)</f>
        <v>#REF!</v>
      </c>
      <c r="AC44" s="10" t="e">
        <f ca="1">BalanceSheets!AA8-BalanceSheets!AB8</f>
        <v>#REF!</v>
      </c>
      <c r="AD44" s="10" t="e">
        <f ca="1">BalanceSheets!AB8-BalanceSheets!AC8</f>
        <v>#REF!</v>
      </c>
      <c r="AE44" s="10" t="e">
        <f ca="1">BalanceSheets!AC8-BalanceSheets!AD8</f>
        <v>#REF!</v>
      </c>
      <c r="AF44" s="10" t="e">
        <f ca="1">BalanceSheets!AD8-BalanceSheets!AE8</f>
        <v>#REF!</v>
      </c>
      <c r="AG44" s="10" t="e">
        <f ca="1">BalanceSheets!AE8-BalanceSheets!AF8</f>
        <v>#REF!</v>
      </c>
      <c r="AH44" s="10" t="e">
        <f ca="1">BalanceSheets!AF8-BalanceSheets!AG8</f>
        <v>#REF!</v>
      </c>
      <c r="AI44" s="10" t="e">
        <f ca="1">BalanceSheets!AG8-BalanceSheets!AH8</f>
        <v>#REF!</v>
      </c>
      <c r="AJ44" s="10" t="e">
        <f ca="1">BalanceSheets!AH8-BalanceSheets!AI8</f>
        <v>#REF!</v>
      </c>
      <c r="AK44" s="10" t="e">
        <f ca="1">BalanceSheets!AI8-BalanceSheets!AJ8</f>
        <v>#REF!</v>
      </c>
      <c r="AL44" s="10" t="e">
        <f ca="1">BalanceSheets!AJ8-BalanceSheets!AK8</f>
        <v>#REF!</v>
      </c>
      <c r="AM44" s="10" t="e">
        <f ca="1">BalanceSheets!AK8-BalanceSheets!AL8</f>
        <v>#REF!</v>
      </c>
      <c r="AN44" s="10" t="e">
        <f ca="1">BalanceSheets!AL8-BalanceSheets!AM8</f>
        <v>#REF!</v>
      </c>
      <c r="AO44" s="10" t="e">
        <f ca="1">SUM(AC44:AN44)</f>
        <v>#REF!</v>
      </c>
    </row>
    <row r="45" spans="2:41" s="23" customFormat="1" ht="15" customHeight="1" x14ac:dyDescent="0.2">
      <c r="B45" s="22" t="s">
        <v>60</v>
      </c>
      <c r="C45" s="10">
        <f ca="1">BalanceSheets!C9-BalanceSheets!D9</f>
        <v>0</v>
      </c>
      <c r="D45" s="10" t="e">
        <f ca="1">BalanceSheets!E17-BalanceSheets!D17+BalanceSheets!E18-BalanceSheets!D18</f>
        <v>#REF!</v>
      </c>
      <c r="E45" s="10">
        <f ca="1">BalanceSheets!E9-BalanceSheets!F9</f>
        <v>0</v>
      </c>
      <c r="F45" s="10">
        <f ca="1">BalanceSheets!F9-BalanceSheets!G9</f>
        <v>0</v>
      </c>
      <c r="G45" s="10">
        <f ca="1">BalanceSheets!G9-BalanceSheets!H9</f>
        <v>0</v>
      </c>
      <c r="H45" s="10">
        <f ca="1">BalanceSheets!H9-BalanceSheets!I9</f>
        <v>0</v>
      </c>
      <c r="I45" s="10">
        <f ca="1">BalanceSheets!I9-BalanceSheets!J9</f>
        <v>0</v>
      </c>
      <c r="J45" s="10">
        <f ca="1">BalanceSheets!J9-BalanceSheets!K9</f>
        <v>0</v>
      </c>
      <c r="K45" s="10">
        <f ca="1">BalanceSheets!K9-BalanceSheets!L9</f>
        <v>0</v>
      </c>
      <c r="L45" s="10">
        <f ca="1">BalanceSheets!L9-BalanceSheets!M9</f>
        <v>0</v>
      </c>
      <c r="M45" s="10">
        <f ca="1">BalanceSheets!M9-BalanceSheets!N9</f>
        <v>0</v>
      </c>
      <c r="N45" s="10">
        <f ca="1">BalanceSheets!N9-BalanceSheets!O9</f>
        <v>0</v>
      </c>
      <c r="O45" s="10" t="e">
        <f ca="1">SUM(C45:N45)</f>
        <v>#REF!</v>
      </c>
      <c r="P45" s="10">
        <f ca="1">BalanceSheets!O9-BalanceSheets!P9</f>
        <v>0</v>
      </c>
      <c r="Q45" s="10">
        <f ca="1">BalanceSheets!P9-BalanceSheets!Q9</f>
        <v>0</v>
      </c>
      <c r="R45" s="10">
        <f ca="1">BalanceSheets!Q9-BalanceSheets!R9</f>
        <v>0</v>
      </c>
      <c r="S45" s="10">
        <f ca="1">BalanceSheets!R9-BalanceSheets!S9</f>
        <v>0</v>
      </c>
      <c r="T45" s="10">
        <f ca="1">BalanceSheets!S9-BalanceSheets!T9</f>
        <v>0</v>
      </c>
      <c r="U45" s="10">
        <f ca="1">BalanceSheets!T9-BalanceSheets!U9</f>
        <v>0</v>
      </c>
      <c r="V45" s="10">
        <f ca="1">BalanceSheets!U9-BalanceSheets!V9</f>
        <v>0</v>
      </c>
      <c r="W45" s="10">
        <f ca="1">BalanceSheets!V9-BalanceSheets!W9</f>
        <v>0</v>
      </c>
      <c r="X45" s="10">
        <f ca="1">BalanceSheets!W9-BalanceSheets!X9</f>
        <v>0</v>
      </c>
      <c r="Y45" s="10">
        <f ca="1">BalanceSheets!X9-BalanceSheets!Y9</f>
        <v>0</v>
      </c>
      <c r="Z45" s="10">
        <f ca="1">BalanceSheets!Y9-BalanceSheets!Z9</f>
        <v>0</v>
      </c>
      <c r="AA45" s="10">
        <f ca="1">BalanceSheets!Z9-BalanceSheets!AA9</f>
        <v>0</v>
      </c>
      <c r="AB45" s="10">
        <f ca="1">SUM(P45:AA45)</f>
        <v>0</v>
      </c>
      <c r="AC45" s="10">
        <f ca="1">BalanceSheets!AA9-BalanceSheets!AB9</f>
        <v>0</v>
      </c>
      <c r="AD45" s="10">
        <f ca="1">BalanceSheets!AB9-BalanceSheets!AC9</f>
        <v>0</v>
      </c>
      <c r="AE45" s="10">
        <f ca="1">BalanceSheets!AC9-BalanceSheets!AD9</f>
        <v>0</v>
      </c>
      <c r="AF45" s="10">
        <f ca="1">BalanceSheets!AD9-BalanceSheets!AE9</f>
        <v>0</v>
      </c>
      <c r="AG45" s="10">
        <f ca="1">BalanceSheets!AE9-BalanceSheets!AF9</f>
        <v>0</v>
      </c>
      <c r="AH45" s="10">
        <f ca="1">BalanceSheets!AF9-BalanceSheets!AG9</f>
        <v>0</v>
      </c>
      <c r="AI45" s="10">
        <f ca="1">BalanceSheets!AG9-BalanceSheets!AH9</f>
        <v>0</v>
      </c>
      <c r="AJ45" s="10">
        <f ca="1">BalanceSheets!AH9-BalanceSheets!AI9</f>
        <v>0</v>
      </c>
      <c r="AK45" s="10">
        <f ca="1">BalanceSheets!AI9-BalanceSheets!AJ9</f>
        <v>0</v>
      </c>
      <c r="AL45" s="10">
        <f ca="1">BalanceSheets!AJ9-BalanceSheets!AK9</f>
        <v>0</v>
      </c>
      <c r="AM45" s="10">
        <f ca="1">BalanceSheets!AK9-BalanceSheets!AL9</f>
        <v>0</v>
      </c>
      <c r="AN45" s="10">
        <f ca="1">BalanceSheets!AL9-BalanceSheets!AM9</f>
        <v>0</v>
      </c>
      <c r="AO45" s="10">
        <f ca="1">SUM(AC45:AN45)</f>
        <v>0</v>
      </c>
    </row>
    <row r="46" spans="2:41" s="23" customFormat="1" ht="15" customHeight="1" x14ac:dyDescent="0.2">
      <c r="B46" s="22" t="s">
        <v>61</v>
      </c>
      <c r="C46" s="10" t="e">
        <f ca="1">BalanceSheets!D17-BalanceSheets!C17+BalanceSheets!D18-BalanceSheets!C18</f>
        <v>#REF!</v>
      </c>
      <c r="D46" s="65" t="e">
        <f t="shared" ref="D46:AO47" ca="1" si="19">SUM(D37:D45)</f>
        <v>#REF!</v>
      </c>
      <c r="E46" s="10" t="e">
        <f ca="1">BalanceSheets!F17-BalanceSheets!E17+BalanceSheets!F18-BalanceSheets!E18</f>
        <v>#REF!</v>
      </c>
      <c r="F46" s="10" t="e">
        <f ca="1">BalanceSheets!G17-BalanceSheets!F17+BalanceSheets!G18-BalanceSheets!F18</f>
        <v>#REF!</v>
      </c>
      <c r="G46" s="10" t="e">
        <f ca="1">BalanceSheets!H17-BalanceSheets!G17+BalanceSheets!H18-BalanceSheets!G18</f>
        <v>#REF!</v>
      </c>
      <c r="H46" s="10" t="e">
        <f ca="1">BalanceSheets!I17-BalanceSheets!H17+BalanceSheets!I18-BalanceSheets!H18</f>
        <v>#REF!</v>
      </c>
      <c r="I46" s="10" t="e">
        <f ca="1">BalanceSheets!J17-BalanceSheets!I17+BalanceSheets!J18-BalanceSheets!I18</f>
        <v>#REF!</v>
      </c>
      <c r="J46" s="10" t="e">
        <f ca="1">BalanceSheets!K17-BalanceSheets!J17+BalanceSheets!K18-BalanceSheets!J18</f>
        <v>#REF!</v>
      </c>
      <c r="K46" s="10" t="e">
        <f ca="1">BalanceSheets!L17-BalanceSheets!K17+BalanceSheets!L18-BalanceSheets!K18</f>
        <v>#REF!</v>
      </c>
      <c r="L46" s="10" t="e">
        <f ca="1">BalanceSheets!M17-BalanceSheets!L17+BalanceSheets!M18-BalanceSheets!L18</f>
        <v>#REF!</v>
      </c>
      <c r="M46" s="10" t="e">
        <f ca="1">BalanceSheets!N17-BalanceSheets!M17+BalanceSheets!N18-BalanceSheets!M18</f>
        <v>#REF!</v>
      </c>
      <c r="N46" s="10" t="e">
        <f ca="1">BalanceSheets!O17-BalanceSheets!N17+BalanceSheets!O18-BalanceSheets!N18</f>
        <v>#REF!</v>
      </c>
      <c r="O46" s="10" t="e">
        <f ca="1">SUM(C46:N46)</f>
        <v>#REF!</v>
      </c>
      <c r="P46" s="10" t="e">
        <f ca="1">BalanceSheets!P17-BalanceSheets!O17+BalanceSheets!P18-BalanceSheets!O18</f>
        <v>#REF!</v>
      </c>
      <c r="Q46" s="10" t="e">
        <f ca="1">BalanceSheets!Q17-BalanceSheets!P17+BalanceSheets!Q18-BalanceSheets!P18</f>
        <v>#REF!</v>
      </c>
      <c r="R46" s="10" t="e">
        <f ca="1">BalanceSheets!R17-BalanceSheets!Q17+BalanceSheets!R18-BalanceSheets!Q18</f>
        <v>#REF!</v>
      </c>
      <c r="S46" s="10" t="e">
        <f ca="1">BalanceSheets!S17-BalanceSheets!R17+BalanceSheets!S18-BalanceSheets!R18</f>
        <v>#REF!</v>
      </c>
      <c r="T46" s="10" t="e">
        <f ca="1">BalanceSheets!T17-BalanceSheets!S17+BalanceSheets!T18-BalanceSheets!S18</f>
        <v>#REF!</v>
      </c>
      <c r="U46" s="10" t="e">
        <f ca="1">BalanceSheets!U17-BalanceSheets!T17+BalanceSheets!U18-BalanceSheets!T18</f>
        <v>#REF!</v>
      </c>
      <c r="V46" s="10" t="e">
        <f ca="1">BalanceSheets!V17-BalanceSheets!U17+BalanceSheets!V18-BalanceSheets!U18</f>
        <v>#REF!</v>
      </c>
      <c r="W46" s="10" t="e">
        <f ca="1">BalanceSheets!W17-BalanceSheets!V17+BalanceSheets!W18-BalanceSheets!V18</f>
        <v>#REF!</v>
      </c>
      <c r="X46" s="10" t="e">
        <f ca="1">BalanceSheets!X17-BalanceSheets!W17+BalanceSheets!X18-BalanceSheets!W18</f>
        <v>#REF!</v>
      </c>
      <c r="Y46" s="10" t="e">
        <f ca="1">BalanceSheets!Y17-BalanceSheets!X17+BalanceSheets!Y18-BalanceSheets!X18</f>
        <v>#REF!</v>
      </c>
      <c r="Z46" s="10" t="e">
        <f ca="1">BalanceSheets!Z17-BalanceSheets!Y17+BalanceSheets!Z18-BalanceSheets!Y18</f>
        <v>#REF!</v>
      </c>
      <c r="AA46" s="10" t="e">
        <f ca="1">BalanceSheets!AA17-BalanceSheets!Z17+BalanceSheets!AA18-BalanceSheets!Z18</f>
        <v>#REF!</v>
      </c>
      <c r="AB46" s="10" t="e">
        <f ca="1">SUM(P46:AA46)</f>
        <v>#REF!</v>
      </c>
      <c r="AC46" s="10" t="e">
        <f ca="1">BalanceSheets!AB17-BalanceSheets!AA17+BalanceSheets!AB18-BalanceSheets!AA18</f>
        <v>#REF!</v>
      </c>
      <c r="AD46" s="10" t="e">
        <f ca="1">BalanceSheets!AC17-BalanceSheets!AB17+BalanceSheets!AC18-BalanceSheets!AB18</f>
        <v>#REF!</v>
      </c>
      <c r="AE46" s="10" t="e">
        <f ca="1">BalanceSheets!AD17-BalanceSheets!AC17+BalanceSheets!AD18-BalanceSheets!AC18</f>
        <v>#REF!</v>
      </c>
      <c r="AF46" s="10" t="e">
        <f ca="1">BalanceSheets!AE17-BalanceSheets!AD17+BalanceSheets!AE18-BalanceSheets!AD18</f>
        <v>#REF!</v>
      </c>
      <c r="AG46" s="10" t="e">
        <f ca="1">BalanceSheets!AF17-BalanceSheets!AE17+BalanceSheets!AF18-BalanceSheets!AE18</f>
        <v>#REF!</v>
      </c>
      <c r="AH46" s="10" t="e">
        <f ca="1">BalanceSheets!AG17-BalanceSheets!AF17+BalanceSheets!AG18-BalanceSheets!AF18</f>
        <v>#REF!</v>
      </c>
      <c r="AI46" s="10" t="e">
        <f ca="1">BalanceSheets!AH17-BalanceSheets!AG17+BalanceSheets!AH18-BalanceSheets!AG18</f>
        <v>#REF!</v>
      </c>
      <c r="AJ46" s="10" t="e">
        <f ca="1">BalanceSheets!AI17-BalanceSheets!AH17+BalanceSheets!AI18-BalanceSheets!AH18</f>
        <v>#REF!</v>
      </c>
      <c r="AK46" s="10" t="e">
        <f ca="1">BalanceSheets!AJ17-BalanceSheets!AI17+BalanceSheets!AJ18-BalanceSheets!AI18</f>
        <v>#REF!</v>
      </c>
      <c r="AL46" s="10" t="e">
        <f ca="1">BalanceSheets!AK17-BalanceSheets!AJ17+BalanceSheets!AK18-BalanceSheets!AJ18</f>
        <v>#REF!</v>
      </c>
      <c r="AM46" s="10" t="e">
        <f ca="1">BalanceSheets!AL17-BalanceSheets!AK17+BalanceSheets!AL18-BalanceSheets!AK18</f>
        <v>#REF!</v>
      </c>
      <c r="AN46" s="10" t="e">
        <f ca="1">BalanceSheets!AM17-BalanceSheets!AL17+BalanceSheets!AM18-BalanceSheets!AL18</f>
        <v>#REF!</v>
      </c>
      <c r="AO46" s="10" t="e">
        <f ca="1">SUM(AC46:AN46)</f>
        <v>#REF!</v>
      </c>
    </row>
    <row r="47" spans="2:41" s="8" customFormat="1" ht="15" customHeight="1" x14ac:dyDescent="0.2">
      <c r="B47" s="8" t="s">
        <v>62</v>
      </c>
      <c r="C47" s="65" t="e">
        <f ca="1">SUM(C38:C46)</f>
        <v>#REF!</v>
      </c>
      <c r="D47" s="10">
        <f t="shared" ref="D47:AN48" si="20">-D38</f>
        <v>0</v>
      </c>
      <c r="E47" s="65" t="e">
        <f t="shared" ca="1" si="19"/>
        <v>#REF!</v>
      </c>
      <c r="F47" s="65" t="e">
        <f t="shared" ca="1" si="19"/>
        <v>#REF!</v>
      </c>
      <c r="G47" s="65" t="e">
        <f t="shared" ca="1" si="19"/>
        <v>#REF!</v>
      </c>
      <c r="H47" s="65" t="e">
        <f t="shared" ca="1" si="19"/>
        <v>#REF!</v>
      </c>
      <c r="I47" s="65" t="e">
        <f t="shared" ca="1" si="19"/>
        <v>#REF!</v>
      </c>
      <c r="J47" s="65" t="e">
        <f t="shared" ca="1" si="19"/>
        <v>#REF!</v>
      </c>
      <c r="K47" s="65" t="e">
        <f t="shared" ca="1" si="19"/>
        <v>#REF!</v>
      </c>
      <c r="L47" s="65" t="e">
        <f t="shared" ca="1" si="19"/>
        <v>#REF!</v>
      </c>
      <c r="M47" s="65" t="e">
        <f t="shared" ca="1" si="19"/>
        <v>#REF!</v>
      </c>
      <c r="N47" s="65" t="e">
        <f t="shared" ca="1" si="19"/>
        <v>#REF!</v>
      </c>
      <c r="O47" s="65" t="e">
        <f t="shared" ca="1" si="19"/>
        <v>#REF!</v>
      </c>
      <c r="P47" s="65" t="e">
        <f t="shared" ca="1" si="19"/>
        <v>#REF!</v>
      </c>
      <c r="Q47" s="65" t="e">
        <f t="shared" ca="1" si="19"/>
        <v>#REF!</v>
      </c>
      <c r="R47" s="65" t="e">
        <f t="shared" ca="1" si="19"/>
        <v>#REF!</v>
      </c>
      <c r="S47" s="65" t="e">
        <f t="shared" ca="1" si="19"/>
        <v>#REF!</v>
      </c>
      <c r="T47" s="65" t="e">
        <f t="shared" ca="1" si="19"/>
        <v>#REF!</v>
      </c>
      <c r="U47" s="65" t="e">
        <f t="shared" ca="1" si="19"/>
        <v>#REF!</v>
      </c>
      <c r="V47" s="65" t="e">
        <f t="shared" ca="1" si="19"/>
        <v>#REF!</v>
      </c>
      <c r="W47" s="65" t="e">
        <f t="shared" ca="1" si="19"/>
        <v>#REF!</v>
      </c>
      <c r="X47" s="65" t="e">
        <f t="shared" ca="1" si="19"/>
        <v>#REF!</v>
      </c>
      <c r="Y47" s="65" t="e">
        <f t="shared" ca="1" si="19"/>
        <v>#REF!</v>
      </c>
      <c r="Z47" s="65" t="e">
        <f t="shared" ca="1" si="19"/>
        <v>#REF!</v>
      </c>
      <c r="AA47" s="65" t="e">
        <f t="shared" ca="1" si="19"/>
        <v>#REF!</v>
      </c>
      <c r="AB47" s="65" t="e">
        <f t="shared" ca="1" si="19"/>
        <v>#REF!</v>
      </c>
      <c r="AC47" s="65" t="e">
        <f t="shared" ca="1" si="19"/>
        <v>#REF!</v>
      </c>
      <c r="AD47" s="65" t="e">
        <f t="shared" ca="1" si="19"/>
        <v>#REF!</v>
      </c>
      <c r="AE47" s="65" t="e">
        <f t="shared" ca="1" si="19"/>
        <v>#REF!</v>
      </c>
      <c r="AF47" s="65" t="e">
        <f t="shared" ca="1" si="19"/>
        <v>#REF!</v>
      </c>
      <c r="AG47" s="65" t="e">
        <f t="shared" ca="1" si="19"/>
        <v>#REF!</v>
      </c>
      <c r="AH47" s="65" t="e">
        <f t="shared" ca="1" si="19"/>
        <v>#REF!</v>
      </c>
      <c r="AI47" s="65" t="e">
        <f t="shared" ca="1" si="19"/>
        <v>#REF!</v>
      </c>
      <c r="AJ47" s="65" t="e">
        <f t="shared" ca="1" si="19"/>
        <v>#REF!</v>
      </c>
      <c r="AK47" s="65" t="e">
        <f t="shared" ca="1" si="19"/>
        <v>#REF!</v>
      </c>
      <c r="AL47" s="65" t="e">
        <f t="shared" ca="1" si="19"/>
        <v>#REF!</v>
      </c>
      <c r="AM47" s="65" t="e">
        <f t="shared" ca="1" si="19"/>
        <v>#REF!</v>
      </c>
      <c r="AN47" s="65" t="e">
        <f t="shared" ca="1" si="19"/>
        <v>#REF!</v>
      </c>
      <c r="AO47" s="65" t="e">
        <f t="shared" ca="1" si="19"/>
        <v>#REF!</v>
      </c>
    </row>
    <row r="48" spans="2:41" ht="15" customHeight="1" x14ac:dyDescent="0.2">
      <c r="B48" s="9" t="s">
        <v>63</v>
      </c>
      <c r="C48" s="10" t="e">
        <f ca="1">-C39</f>
        <v>#REF!</v>
      </c>
      <c r="D48" s="10" t="e">
        <f ca="1">BalanceSheets!E19-BalanceSheets!D19-D39</f>
        <v>#REF!</v>
      </c>
      <c r="E48" s="10" t="e">
        <f t="shared" ca="1" si="20"/>
        <v>#REF!</v>
      </c>
      <c r="F48" s="10" t="e">
        <f t="shared" ca="1" si="20"/>
        <v>#REF!</v>
      </c>
      <c r="G48" s="10" t="e">
        <f t="shared" ca="1" si="20"/>
        <v>#REF!</v>
      </c>
      <c r="H48" s="10" t="e">
        <f t="shared" ca="1" si="20"/>
        <v>#REF!</v>
      </c>
      <c r="I48" s="10" t="e">
        <f t="shared" ca="1" si="20"/>
        <v>#REF!</v>
      </c>
      <c r="J48" s="10" t="e">
        <f t="shared" ca="1" si="20"/>
        <v>#REF!</v>
      </c>
      <c r="K48" s="10" t="e">
        <f t="shared" ca="1" si="20"/>
        <v>#REF!</v>
      </c>
      <c r="L48" s="10" t="e">
        <f t="shared" ca="1" si="20"/>
        <v>#REF!</v>
      </c>
      <c r="M48" s="10" t="e">
        <f t="shared" ca="1" si="20"/>
        <v>#REF!</v>
      </c>
      <c r="N48" s="10" t="e">
        <f t="shared" ca="1" si="20"/>
        <v>#REF!</v>
      </c>
      <c r="O48" s="10" t="e">
        <f ca="1">SUM(C48:N48)</f>
        <v>#REF!</v>
      </c>
      <c r="P48" s="10" t="e">
        <f t="shared" ca="1" si="20"/>
        <v>#REF!</v>
      </c>
      <c r="Q48" s="10" t="e">
        <f t="shared" ca="1" si="20"/>
        <v>#REF!</v>
      </c>
      <c r="R48" s="10" t="e">
        <f t="shared" ca="1" si="20"/>
        <v>#REF!</v>
      </c>
      <c r="S48" s="10" t="e">
        <f t="shared" ca="1" si="20"/>
        <v>#REF!</v>
      </c>
      <c r="T48" s="10" t="e">
        <f t="shared" ca="1" si="20"/>
        <v>#REF!</v>
      </c>
      <c r="U48" s="10" t="e">
        <f t="shared" ca="1" si="20"/>
        <v>#REF!</v>
      </c>
      <c r="V48" s="10" t="e">
        <f t="shared" ca="1" si="20"/>
        <v>#REF!</v>
      </c>
      <c r="W48" s="10" t="e">
        <f t="shared" ca="1" si="20"/>
        <v>#REF!</v>
      </c>
      <c r="X48" s="10" t="e">
        <f t="shared" ca="1" si="20"/>
        <v>#REF!</v>
      </c>
      <c r="Y48" s="10" t="e">
        <f t="shared" ca="1" si="20"/>
        <v>#REF!</v>
      </c>
      <c r="Z48" s="10" t="e">
        <f t="shared" ca="1" si="20"/>
        <v>#REF!</v>
      </c>
      <c r="AA48" s="10" t="e">
        <f t="shared" ca="1" si="20"/>
        <v>#REF!</v>
      </c>
      <c r="AB48" s="10" t="e">
        <f ca="1">SUM(P48:AA48)</f>
        <v>#REF!</v>
      </c>
      <c r="AC48" s="10" t="e">
        <f t="shared" ca="1" si="20"/>
        <v>#REF!</v>
      </c>
      <c r="AD48" s="10" t="e">
        <f t="shared" ca="1" si="20"/>
        <v>#REF!</v>
      </c>
      <c r="AE48" s="10" t="e">
        <f t="shared" ca="1" si="20"/>
        <v>#REF!</v>
      </c>
      <c r="AF48" s="10" t="e">
        <f t="shared" ca="1" si="20"/>
        <v>#REF!</v>
      </c>
      <c r="AG48" s="10" t="e">
        <f t="shared" ca="1" si="20"/>
        <v>#REF!</v>
      </c>
      <c r="AH48" s="10" t="e">
        <f t="shared" ca="1" si="20"/>
        <v>#REF!</v>
      </c>
      <c r="AI48" s="10" t="e">
        <f t="shared" ca="1" si="20"/>
        <v>#REF!</v>
      </c>
      <c r="AJ48" s="10" t="e">
        <f t="shared" ca="1" si="20"/>
        <v>#REF!</v>
      </c>
      <c r="AK48" s="10" t="e">
        <f t="shared" ca="1" si="20"/>
        <v>#REF!</v>
      </c>
      <c r="AL48" s="10" t="e">
        <f t="shared" ca="1" si="20"/>
        <v>#REF!</v>
      </c>
      <c r="AM48" s="10" t="e">
        <f t="shared" ca="1" si="20"/>
        <v>#REF!</v>
      </c>
      <c r="AN48" s="10" t="e">
        <f t="shared" ca="1" si="20"/>
        <v>#REF!</v>
      </c>
      <c r="AO48" s="10" t="e">
        <f ca="1">SUM(AC48:AN48)</f>
        <v>#REF!</v>
      </c>
    </row>
    <row r="49" spans="1:41" ht="15" customHeight="1" x14ac:dyDescent="0.2">
      <c r="B49" s="9" t="s">
        <v>64</v>
      </c>
      <c r="C49" s="10" t="e">
        <f ca="1">BalanceSheets!D19-BalanceSheets!C19-C40</f>
        <v>#REF!</v>
      </c>
      <c r="D49" s="64" t="e">
        <f t="shared" ref="D49:AO50" ca="1" si="21">SUM(D46:D48)</f>
        <v>#REF!</v>
      </c>
      <c r="E49" s="10" t="e">
        <f ca="1">BalanceSheets!F19-BalanceSheets!E19-E40</f>
        <v>#REF!</v>
      </c>
      <c r="F49" s="10" t="e">
        <f ca="1">BalanceSheets!G19-BalanceSheets!F19-F40</f>
        <v>#REF!</v>
      </c>
      <c r="G49" s="10" t="e">
        <f ca="1">BalanceSheets!H19-BalanceSheets!G19-G40</f>
        <v>#REF!</v>
      </c>
      <c r="H49" s="10" t="e">
        <f ca="1">BalanceSheets!I19-BalanceSheets!H19-H40</f>
        <v>#REF!</v>
      </c>
      <c r="I49" s="10" t="e">
        <f ca="1">BalanceSheets!J19-BalanceSheets!I19-I40</f>
        <v>#REF!</v>
      </c>
      <c r="J49" s="10" t="e">
        <f ca="1">BalanceSheets!K19-BalanceSheets!J19-J40</f>
        <v>#REF!</v>
      </c>
      <c r="K49" s="10" t="e">
        <f ca="1">BalanceSheets!L19-BalanceSheets!K19-K40</f>
        <v>#REF!</v>
      </c>
      <c r="L49" s="10" t="e">
        <f ca="1">BalanceSheets!M19-BalanceSheets!L19-L40</f>
        <v>#REF!</v>
      </c>
      <c r="M49" s="10" t="e">
        <f ca="1">BalanceSheets!N19-BalanceSheets!M19-M40</f>
        <v>#REF!</v>
      </c>
      <c r="N49" s="10" t="e">
        <f ca="1">BalanceSheets!O19-BalanceSheets!N19-N40</f>
        <v>#REF!</v>
      </c>
      <c r="O49" s="10" t="e">
        <f ca="1">SUM(C49:N49)</f>
        <v>#REF!</v>
      </c>
      <c r="P49" s="75" t="e">
        <f ca="1">BalanceSheets!P19-BalanceSheets!O19-P40</f>
        <v>#REF!</v>
      </c>
      <c r="Q49" s="75" t="e">
        <f ca="1">BalanceSheets!Q19-BalanceSheets!P19-Q40</f>
        <v>#REF!</v>
      </c>
      <c r="R49" s="75" t="e">
        <f ca="1">BalanceSheets!R19-BalanceSheets!Q19-R40</f>
        <v>#REF!</v>
      </c>
      <c r="S49" s="75" t="e">
        <f ca="1">BalanceSheets!S19-BalanceSheets!R19-S40</f>
        <v>#REF!</v>
      </c>
      <c r="T49" s="75" t="e">
        <f ca="1">BalanceSheets!T19-BalanceSheets!S19-T40</f>
        <v>#REF!</v>
      </c>
      <c r="U49" s="75" t="e">
        <f ca="1">BalanceSheets!U19-BalanceSheets!T19-U40</f>
        <v>#REF!</v>
      </c>
      <c r="V49" s="75" t="e">
        <f ca="1">BalanceSheets!V19-BalanceSheets!U19-V40</f>
        <v>#REF!</v>
      </c>
      <c r="W49" s="75" t="e">
        <f ca="1">BalanceSheets!W19-BalanceSheets!V19-W40</f>
        <v>#REF!</v>
      </c>
      <c r="X49" s="75" t="e">
        <f ca="1">BalanceSheets!X19-BalanceSheets!W19-X40</f>
        <v>#REF!</v>
      </c>
      <c r="Y49" s="75" t="e">
        <f ca="1">BalanceSheets!Y19-BalanceSheets!X19-Y40</f>
        <v>#REF!</v>
      </c>
      <c r="Z49" s="75" t="e">
        <f ca="1">BalanceSheets!Z19-BalanceSheets!Y19-Z40</f>
        <v>#REF!</v>
      </c>
      <c r="AA49" s="75" t="e">
        <f ca="1">BalanceSheets!AA19-BalanceSheets!Z19-AA40</f>
        <v>#REF!</v>
      </c>
      <c r="AB49" s="10" t="e">
        <f ca="1">SUM(P49:AA49)</f>
        <v>#REF!</v>
      </c>
      <c r="AC49" s="75" t="e">
        <f ca="1">BalanceSheets!AB19-BalanceSheets!AA19-AC40</f>
        <v>#REF!</v>
      </c>
      <c r="AD49" s="75" t="e">
        <f ca="1">BalanceSheets!AC19-BalanceSheets!AB19-AD40</f>
        <v>#REF!</v>
      </c>
      <c r="AE49" s="75" t="e">
        <f ca="1">BalanceSheets!AD19-BalanceSheets!AC19-AE40</f>
        <v>#REF!</v>
      </c>
      <c r="AF49" s="75" t="e">
        <f ca="1">BalanceSheets!AE19-BalanceSheets!AD19-AF40</f>
        <v>#REF!</v>
      </c>
      <c r="AG49" s="75" t="e">
        <f ca="1">BalanceSheets!AF19-BalanceSheets!AE19-AG40</f>
        <v>#REF!</v>
      </c>
      <c r="AH49" s="75" t="e">
        <f ca="1">BalanceSheets!AG19-BalanceSheets!AF19-AH40</f>
        <v>#REF!</v>
      </c>
      <c r="AI49" s="75" t="e">
        <f ca="1">BalanceSheets!AH19-BalanceSheets!AG19-AI40</f>
        <v>#REF!</v>
      </c>
      <c r="AJ49" s="75" t="e">
        <f ca="1">BalanceSheets!AI19-BalanceSheets!AH19-AJ40</f>
        <v>#REF!</v>
      </c>
      <c r="AK49" s="75" t="e">
        <f ca="1">BalanceSheets!AJ19-BalanceSheets!AI19-AK40</f>
        <v>#REF!</v>
      </c>
      <c r="AL49" s="75" t="e">
        <f ca="1">BalanceSheets!AK19-BalanceSheets!AJ19-AL40</f>
        <v>#REF!</v>
      </c>
      <c r="AM49" s="75" t="e">
        <f ca="1">BalanceSheets!AL19-BalanceSheets!AK19-AM40</f>
        <v>#REF!</v>
      </c>
      <c r="AN49" s="75" t="e">
        <f ca="1">BalanceSheets!AM19-BalanceSheets!AL19-AN40</f>
        <v>#REF!</v>
      </c>
      <c r="AO49" s="10" t="e">
        <f ca="1">SUM(AC49:AN49)</f>
        <v>#REF!</v>
      </c>
    </row>
    <row r="50" spans="1:41" s="8" customFormat="1" ht="15" customHeight="1" x14ac:dyDescent="0.2">
      <c r="B50" s="8" t="s">
        <v>65</v>
      </c>
      <c r="C50" s="64" t="e">
        <f ca="1">SUM(C47:C49)</f>
        <v>#REF!</v>
      </c>
      <c r="D50" s="10"/>
      <c r="E50" s="64" t="e">
        <f t="shared" ca="1" si="21"/>
        <v>#REF!</v>
      </c>
      <c r="F50" s="64" t="e">
        <f t="shared" ca="1" si="21"/>
        <v>#REF!</v>
      </c>
      <c r="G50" s="64" t="e">
        <f t="shared" ca="1" si="21"/>
        <v>#REF!</v>
      </c>
      <c r="H50" s="64" t="e">
        <f t="shared" ca="1" si="21"/>
        <v>#REF!</v>
      </c>
      <c r="I50" s="64" t="e">
        <f t="shared" ca="1" si="21"/>
        <v>#REF!</v>
      </c>
      <c r="J50" s="64" t="e">
        <f t="shared" ca="1" si="21"/>
        <v>#REF!</v>
      </c>
      <c r="K50" s="64" t="e">
        <f t="shared" ca="1" si="21"/>
        <v>#REF!</v>
      </c>
      <c r="L50" s="64" t="e">
        <f t="shared" ca="1" si="21"/>
        <v>#REF!</v>
      </c>
      <c r="M50" s="64" t="e">
        <f t="shared" ca="1" si="21"/>
        <v>#REF!</v>
      </c>
      <c r="N50" s="64" t="e">
        <f t="shared" ca="1" si="21"/>
        <v>#REF!</v>
      </c>
      <c r="O50" s="64" t="e">
        <f t="shared" ca="1" si="21"/>
        <v>#REF!</v>
      </c>
      <c r="P50" s="64" t="e">
        <f t="shared" ca="1" si="21"/>
        <v>#REF!</v>
      </c>
      <c r="Q50" s="64" t="e">
        <f t="shared" ca="1" si="21"/>
        <v>#REF!</v>
      </c>
      <c r="R50" s="64" t="e">
        <f t="shared" ca="1" si="21"/>
        <v>#REF!</v>
      </c>
      <c r="S50" s="64" t="e">
        <f t="shared" ca="1" si="21"/>
        <v>#REF!</v>
      </c>
      <c r="T50" s="64" t="e">
        <f t="shared" ca="1" si="21"/>
        <v>#REF!</v>
      </c>
      <c r="U50" s="64" t="e">
        <f t="shared" ca="1" si="21"/>
        <v>#REF!</v>
      </c>
      <c r="V50" s="64" t="e">
        <f t="shared" ca="1" si="21"/>
        <v>#REF!</v>
      </c>
      <c r="W50" s="64" t="e">
        <f t="shared" ca="1" si="21"/>
        <v>#REF!</v>
      </c>
      <c r="X50" s="64" t="e">
        <f t="shared" ca="1" si="21"/>
        <v>#REF!</v>
      </c>
      <c r="Y50" s="64" t="e">
        <f t="shared" ca="1" si="21"/>
        <v>#REF!</v>
      </c>
      <c r="Z50" s="64" t="e">
        <f t="shared" ca="1" si="21"/>
        <v>#REF!</v>
      </c>
      <c r="AA50" s="64" t="e">
        <f t="shared" ca="1" si="21"/>
        <v>#REF!</v>
      </c>
      <c r="AB50" s="64" t="e">
        <f t="shared" ca="1" si="21"/>
        <v>#REF!</v>
      </c>
      <c r="AC50" s="64" t="e">
        <f t="shared" ca="1" si="21"/>
        <v>#REF!</v>
      </c>
      <c r="AD50" s="64" t="e">
        <f t="shared" ca="1" si="21"/>
        <v>#REF!</v>
      </c>
      <c r="AE50" s="64" t="e">
        <f t="shared" ca="1" si="21"/>
        <v>#REF!</v>
      </c>
      <c r="AF50" s="64" t="e">
        <f t="shared" ca="1" si="21"/>
        <v>#REF!</v>
      </c>
      <c r="AG50" s="64" t="e">
        <f t="shared" ca="1" si="21"/>
        <v>#REF!</v>
      </c>
      <c r="AH50" s="64" t="e">
        <f t="shared" ca="1" si="21"/>
        <v>#REF!</v>
      </c>
      <c r="AI50" s="64" t="e">
        <f t="shared" ca="1" si="21"/>
        <v>#REF!</v>
      </c>
      <c r="AJ50" s="64" t="e">
        <f t="shared" ca="1" si="21"/>
        <v>#REF!</v>
      </c>
      <c r="AK50" s="64" t="e">
        <f t="shared" ca="1" si="21"/>
        <v>#REF!</v>
      </c>
      <c r="AL50" s="64" t="e">
        <f t="shared" ca="1" si="21"/>
        <v>#REF!</v>
      </c>
      <c r="AM50" s="64" t="e">
        <f t="shared" ca="1" si="21"/>
        <v>#REF!</v>
      </c>
      <c r="AN50" s="64" t="e">
        <f t="shared" ca="1" si="21"/>
        <v>#REF!</v>
      </c>
      <c r="AO50" s="64" t="e">
        <f t="shared" ca="1" si="21"/>
        <v>#REF!</v>
      </c>
    </row>
    <row r="51" spans="1:41" ht="15" customHeight="1" x14ac:dyDescent="0.2">
      <c r="C51" s="10"/>
      <c r="D51" s="10"/>
      <c r="E51" s="10"/>
      <c r="F51" s="10"/>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row>
    <row r="52" spans="1:41" ht="15" customHeight="1" x14ac:dyDescent="0.2">
      <c r="B52" s="37" t="s">
        <v>66</v>
      </c>
      <c r="C52" s="10"/>
      <c r="D52" s="10">
        <v>0</v>
      </c>
      <c r="E52" s="10"/>
      <c r="F52" s="10"/>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row>
    <row r="53" spans="1:41" s="23" customFormat="1" ht="15" customHeight="1" x14ac:dyDescent="0.2">
      <c r="A53" s="31"/>
      <c r="B53" s="22" t="s">
        <v>67</v>
      </c>
      <c r="C53" s="10">
        <v>0</v>
      </c>
      <c r="D53" s="64">
        <f t="shared" ref="D53:AO54" si="22">SUM(D52)</f>
        <v>0</v>
      </c>
      <c r="E53" s="10">
        <v>-5000</v>
      </c>
      <c r="F53" s="10">
        <v>0</v>
      </c>
      <c r="G53" s="10">
        <v>0</v>
      </c>
      <c r="H53" s="10">
        <v>-7500</v>
      </c>
      <c r="I53" s="10">
        <v>0</v>
      </c>
      <c r="J53" s="10">
        <v>0</v>
      </c>
      <c r="K53" s="10">
        <v>0</v>
      </c>
      <c r="L53" s="10">
        <v>0</v>
      </c>
      <c r="M53" s="10">
        <v>0</v>
      </c>
      <c r="N53" s="10">
        <v>0</v>
      </c>
      <c r="O53" s="10">
        <f>SUM(C53:N53)</f>
        <v>-12500</v>
      </c>
      <c r="P53" s="10">
        <v>-7500</v>
      </c>
      <c r="Q53" s="10">
        <v>0</v>
      </c>
      <c r="R53" s="10">
        <v>0</v>
      </c>
      <c r="S53" s="10">
        <v>0</v>
      </c>
      <c r="T53" s="10">
        <v>0</v>
      </c>
      <c r="U53" s="10">
        <v>0</v>
      </c>
      <c r="V53" s="10">
        <v>0</v>
      </c>
      <c r="W53" s="10">
        <v>-3000</v>
      </c>
      <c r="X53" s="10">
        <v>0</v>
      </c>
      <c r="Y53" s="10">
        <v>0</v>
      </c>
      <c r="Z53" s="10">
        <v>0</v>
      </c>
      <c r="AA53" s="10">
        <v>0</v>
      </c>
      <c r="AB53" s="10">
        <f>SUM(P53:AA53)</f>
        <v>-10500</v>
      </c>
      <c r="AC53" s="10">
        <v>0</v>
      </c>
      <c r="AD53" s="10">
        <v>-8200</v>
      </c>
      <c r="AE53" s="10">
        <v>0</v>
      </c>
      <c r="AF53" s="10">
        <v>0</v>
      </c>
      <c r="AG53" s="10">
        <v>0</v>
      </c>
      <c r="AH53" s="10">
        <v>0</v>
      </c>
      <c r="AI53" s="10">
        <v>0</v>
      </c>
      <c r="AJ53" s="10">
        <v>0</v>
      </c>
      <c r="AK53" s="10">
        <v>0</v>
      </c>
      <c r="AL53" s="10">
        <v>-9500</v>
      </c>
      <c r="AM53" s="10">
        <v>0</v>
      </c>
      <c r="AN53" s="10">
        <v>0</v>
      </c>
      <c r="AO53" s="10">
        <f>SUM(AC53:AN53)</f>
        <v>-17700</v>
      </c>
    </row>
    <row r="54" spans="1:41" s="8" customFormat="1" ht="15" customHeight="1" x14ac:dyDescent="0.2">
      <c r="B54" s="8" t="s">
        <v>68</v>
      </c>
      <c r="C54" s="64">
        <f>SUM(C53)</f>
        <v>0</v>
      </c>
      <c r="D54" s="10"/>
      <c r="E54" s="64">
        <f t="shared" si="22"/>
        <v>-5000</v>
      </c>
      <c r="F54" s="64">
        <f t="shared" si="22"/>
        <v>0</v>
      </c>
      <c r="G54" s="64">
        <f t="shared" si="22"/>
        <v>0</v>
      </c>
      <c r="H54" s="64">
        <f t="shared" si="22"/>
        <v>-7500</v>
      </c>
      <c r="I54" s="64">
        <f t="shared" si="22"/>
        <v>0</v>
      </c>
      <c r="J54" s="64">
        <f t="shared" si="22"/>
        <v>0</v>
      </c>
      <c r="K54" s="64">
        <f t="shared" si="22"/>
        <v>0</v>
      </c>
      <c r="L54" s="64">
        <f t="shared" si="22"/>
        <v>0</v>
      </c>
      <c r="M54" s="64">
        <f t="shared" si="22"/>
        <v>0</v>
      </c>
      <c r="N54" s="64">
        <f t="shared" si="22"/>
        <v>0</v>
      </c>
      <c r="O54" s="64">
        <f t="shared" si="22"/>
        <v>-12500</v>
      </c>
      <c r="P54" s="64">
        <f t="shared" si="22"/>
        <v>-7500</v>
      </c>
      <c r="Q54" s="64">
        <f t="shared" si="22"/>
        <v>0</v>
      </c>
      <c r="R54" s="64">
        <f t="shared" si="22"/>
        <v>0</v>
      </c>
      <c r="S54" s="64">
        <f t="shared" si="22"/>
        <v>0</v>
      </c>
      <c r="T54" s="64">
        <f t="shared" si="22"/>
        <v>0</v>
      </c>
      <c r="U54" s="64">
        <f t="shared" si="22"/>
        <v>0</v>
      </c>
      <c r="V54" s="64">
        <f t="shared" si="22"/>
        <v>0</v>
      </c>
      <c r="W54" s="64">
        <f t="shared" si="22"/>
        <v>-3000</v>
      </c>
      <c r="X54" s="64">
        <f t="shared" si="22"/>
        <v>0</v>
      </c>
      <c r="Y54" s="64">
        <f t="shared" si="22"/>
        <v>0</v>
      </c>
      <c r="Z54" s="64">
        <f t="shared" si="22"/>
        <v>0</v>
      </c>
      <c r="AA54" s="64">
        <f t="shared" si="22"/>
        <v>0</v>
      </c>
      <c r="AB54" s="64">
        <f t="shared" si="22"/>
        <v>-10500</v>
      </c>
      <c r="AC54" s="64">
        <f t="shared" si="22"/>
        <v>0</v>
      </c>
      <c r="AD54" s="64">
        <f t="shared" si="22"/>
        <v>-8200</v>
      </c>
      <c r="AE54" s="64">
        <f t="shared" si="22"/>
        <v>0</v>
      </c>
      <c r="AF54" s="64">
        <f t="shared" si="22"/>
        <v>0</v>
      </c>
      <c r="AG54" s="64">
        <f t="shared" si="22"/>
        <v>0</v>
      </c>
      <c r="AH54" s="64">
        <f t="shared" si="22"/>
        <v>0</v>
      </c>
      <c r="AI54" s="64">
        <f t="shared" si="22"/>
        <v>0</v>
      </c>
      <c r="AJ54" s="64">
        <f t="shared" si="22"/>
        <v>0</v>
      </c>
      <c r="AK54" s="64">
        <f t="shared" si="22"/>
        <v>0</v>
      </c>
      <c r="AL54" s="64">
        <f t="shared" si="22"/>
        <v>-9500</v>
      </c>
      <c r="AM54" s="64">
        <f t="shared" si="22"/>
        <v>0</v>
      </c>
      <c r="AN54" s="64">
        <f t="shared" si="22"/>
        <v>0</v>
      </c>
      <c r="AO54" s="64">
        <f t="shared" si="22"/>
        <v>-17700</v>
      </c>
    </row>
    <row r="55" spans="1:41" ht="15" customHeight="1" x14ac:dyDescent="0.2">
      <c r="C55" s="10"/>
      <c r="D55" s="10"/>
      <c r="E55" s="10"/>
      <c r="F55" s="10"/>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row>
    <row r="56" spans="1:41" ht="15" customHeight="1" x14ac:dyDescent="0.2">
      <c r="B56" s="37" t="s">
        <v>69</v>
      </c>
      <c r="C56" s="10"/>
      <c r="D56" s="10">
        <v>0</v>
      </c>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row>
    <row r="57" spans="1:41" s="23" customFormat="1" ht="15" customHeight="1" x14ac:dyDescent="0.2">
      <c r="A57" s="31"/>
      <c r="B57" s="22" t="s">
        <v>70</v>
      </c>
      <c r="C57" s="10">
        <v>0</v>
      </c>
      <c r="D57" s="10">
        <v>0</v>
      </c>
      <c r="E57" s="10">
        <v>0</v>
      </c>
      <c r="F57" s="10">
        <v>50</v>
      </c>
      <c r="G57" s="10">
        <v>0</v>
      </c>
      <c r="H57" s="10">
        <v>0</v>
      </c>
      <c r="I57" s="10">
        <v>0</v>
      </c>
      <c r="J57" s="10">
        <v>0</v>
      </c>
      <c r="K57" s="10">
        <v>0</v>
      </c>
      <c r="L57" s="10">
        <v>0</v>
      </c>
      <c r="M57" s="10">
        <v>0</v>
      </c>
      <c r="N57" s="10">
        <v>0</v>
      </c>
      <c r="O57" s="10">
        <f>SUM(C57:N57)</f>
        <v>50</v>
      </c>
      <c r="P57" s="10">
        <v>0</v>
      </c>
      <c r="Q57" s="10">
        <v>0</v>
      </c>
      <c r="R57" s="10">
        <v>0</v>
      </c>
      <c r="S57" s="10">
        <v>0</v>
      </c>
      <c r="T57" s="10">
        <v>0</v>
      </c>
      <c r="U57" s="10">
        <v>0</v>
      </c>
      <c r="V57" s="10">
        <v>0</v>
      </c>
      <c r="W57" s="10">
        <v>0</v>
      </c>
      <c r="X57" s="10">
        <v>0</v>
      </c>
      <c r="Y57" s="10">
        <v>0</v>
      </c>
      <c r="Z57" s="10">
        <v>0</v>
      </c>
      <c r="AA57" s="10">
        <v>0</v>
      </c>
      <c r="AB57" s="10">
        <f>SUM(P57:AA57)</f>
        <v>0</v>
      </c>
      <c r="AC57" s="10">
        <v>0</v>
      </c>
      <c r="AD57" s="10">
        <v>0</v>
      </c>
      <c r="AE57" s="10">
        <v>0</v>
      </c>
      <c r="AF57" s="10">
        <v>0</v>
      </c>
      <c r="AG57" s="10">
        <v>0</v>
      </c>
      <c r="AH57" s="10">
        <v>0</v>
      </c>
      <c r="AI57" s="10">
        <v>0</v>
      </c>
      <c r="AJ57" s="10">
        <v>0</v>
      </c>
      <c r="AK57" s="10">
        <v>0</v>
      </c>
      <c r="AL57" s="10">
        <v>0</v>
      </c>
      <c r="AM57" s="10">
        <v>0</v>
      </c>
      <c r="AN57" s="10">
        <v>0</v>
      </c>
      <c r="AO57" s="10">
        <f>SUM(AC57:AN57)</f>
        <v>0</v>
      </c>
    </row>
    <row r="58" spans="1:41" s="23" customFormat="1" ht="15" customHeight="1" x14ac:dyDescent="0.2">
      <c r="A58" s="31"/>
      <c r="B58" s="22" t="s">
        <v>71</v>
      </c>
      <c r="C58" s="10">
        <v>0</v>
      </c>
      <c r="D58" s="10" t="e">
        <f ca="1">-OFFSET(#REF!,COLUMN(D55)-2,0,1,1)</f>
        <v>#REF!</v>
      </c>
      <c r="E58" s="10">
        <v>0</v>
      </c>
      <c r="F58" s="10">
        <v>0</v>
      </c>
      <c r="G58" s="10">
        <v>10000</v>
      </c>
      <c r="H58" s="10">
        <v>0</v>
      </c>
      <c r="I58" s="10">
        <v>0</v>
      </c>
      <c r="J58" s="10">
        <v>0</v>
      </c>
      <c r="K58" s="10">
        <v>0</v>
      </c>
      <c r="L58" s="10">
        <v>0</v>
      </c>
      <c r="M58" s="10">
        <v>0</v>
      </c>
      <c r="N58" s="10">
        <v>0</v>
      </c>
      <c r="O58" s="10" t="e">
        <f ca="1">SUM(C58:N58)</f>
        <v>#REF!</v>
      </c>
      <c r="P58" s="10">
        <v>0</v>
      </c>
      <c r="Q58" s="10">
        <v>0</v>
      </c>
      <c r="R58" s="10">
        <v>0</v>
      </c>
      <c r="S58" s="10">
        <v>8000</v>
      </c>
      <c r="T58" s="10">
        <v>0</v>
      </c>
      <c r="U58" s="10">
        <v>0</v>
      </c>
      <c r="V58" s="10">
        <v>0</v>
      </c>
      <c r="W58" s="10">
        <v>0</v>
      </c>
      <c r="X58" s="10">
        <v>0</v>
      </c>
      <c r="Y58" s="10">
        <v>0</v>
      </c>
      <c r="Z58" s="10">
        <v>0</v>
      </c>
      <c r="AA58" s="10">
        <v>0</v>
      </c>
      <c r="AB58" s="10">
        <f>SUM(P58:AA58)</f>
        <v>8000</v>
      </c>
      <c r="AC58" s="10">
        <v>0</v>
      </c>
      <c r="AD58" s="10">
        <v>0</v>
      </c>
      <c r="AE58" s="10">
        <v>0</v>
      </c>
      <c r="AF58" s="10">
        <v>0</v>
      </c>
      <c r="AG58" s="10">
        <v>7500</v>
      </c>
      <c r="AH58" s="10">
        <v>0</v>
      </c>
      <c r="AI58" s="10">
        <v>0</v>
      </c>
      <c r="AJ58" s="10">
        <v>0</v>
      </c>
      <c r="AK58" s="10">
        <v>0</v>
      </c>
      <c r="AL58" s="10">
        <v>0</v>
      </c>
      <c r="AM58" s="10">
        <v>3000</v>
      </c>
      <c r="AN58" s="10">
        <v>0</v>
      </c>
      <c r="AO58" s="10">
        <f>SUM(AC58:AN58)</f>
        <v>10500</v>
      </c>
    </row>
    <row r="59" spans="1:41" s="23" customFormat="1" ht="15" customHeight="1" x14ac:dyDescent="0.2">
      <c r="B59" s="22" t="s">
        <v>72</v>
      </c>
      <c r="C59" s="10" t="e">
        <f ca="1">-OFFSET(#REF!,COLUMN(C56)-2,0,1,1)</f>
        <v>#REF!</v>
      </c>
      <c r="D59" s="64" t="e">
        <f t="shared" ref="D59:AO60" ca="1" si="23">SUM(D56:D58)</f>
        <v>#REF!</v>
      </c>
      <c r="E59" s="10" t="e">
        <f ca="1">-OFFSET(#REF!,COLUMN(E56)-2,0,1,1)</f>
        <v>#REF!</v>
      </c>
      <c r="F59" s="10" t="e">
        <f ca="1">-OFFSET(#REF!,COLUMN(F56)-2,0,1,1)</f>
        <v>#REF!</v>
      </c>
      <c r="G59" s="10" t="e">
        <f ca="1">-OFFSET(#REF!,COLUMN(G56)-2,0,1,1)</f>
        <v>#REF!</v>
      </c>
      <c r="H59" s="10" t="e">
        <f ca="1">-OFFSET(#REF!,COLUMN(H56)-2,0,1,1)</f>
        <v>#REF!</v>
      </c>
      <c r="I59" s="10" t="e">
        <f ca="1">-OFFSET(#REF!,COLUMN(I56)-2,0,1,1)</f>
        <v>#REF!</v>
      </c>
      <c r="J59" s="10" t="e">
        <f ca="1">-OFFSET(#REF!,COLUMN(J56)-2,0,1,1)</f>
        <v>#REF!</v>
      </c>
      <c r="K59" s="10" t="e">
        <f ca="1">-OFFSET(#REF!,COLUMN(K56)-2,0,1,1)</f>
        <v>#REF!</v>
      </c>
      <c r="L59" s="10" t="e">
        <f ca="1">-OFFSET(#REF!,COLUMN(L56)-2,0,1,1)</f>
        <v>#REF!</v>
      </c>
      <c r="M59" s="10" t="e">
        <f ca="1">-OFFSET(#REF!,COLUMN(M56)-2,0,1,1)</f>
        <v>#REF!</v>
      </c>
      <c r="N59" s="10" t="e">
        <f ca="1">-OFFSET(#REF!,COLUMN(N56)-2,0,1,1)</f>
        <v>#REF!</v>
      </c>
      <c r="O59" s="10" t="e">
        <f ca="1">SUM(C59:N59)</f>
        <v>#REF!</v>
      </c>
      <c r="P59" s="10" t="e">
        <f ca="1">-OFFSET(#REF!,COLUMN(P56)-3,0,1,1)</f>
        <v>#REF!</v>
      </c>
      <c r="Q59" s="10" t="e">
        <f ca="1">-OFFSET(#REF!,COLUMN(Q56)-3,0,1,1)</f>
        <v>#REF!</v>
      </c>
      <c r="R59" s="10" t="e">
        <f ca="1">-OFFSET(#REF!,COLUMN(R56)-3,0,1,1)</f>
        <v>#REF!</v>
      </c>
      <c r="S59" s="10" t="e">
        <f ca="1">-OFFSET(#REF!,COLUMN(S56)-3,0,1,1)</f>
        <v>#REF!</v>
      </c>
      <c r="T59" s="10" t="e">
        <f ca="1">-OFFSET(#REF!,COLUMN(T56)-3,0,1,1)</f>
        <v>#REF!</v>
      </c>
      <c r="U59" s="10" t="e">
        <f ca="1">-OFFSET(#REF!,COLUMN(U56)-3,0,1,1)</f>
        <v>#REF!</v>
      </c>
      <c r="V59" s="10" t="e">
        <f ca="1">-OFFSET(#REF!,COLUMN(V56)-3,0,1,1)</f>
        <v>#REF!</v>
      </c>
      <c r="W59" s="10" t="e">
        <f ca="1">-OFFSET(#REF!,COLUMN(W56)-3,0,1,1)</f>
        <v>#REF!</v>
      </c>
      <c r="X59" s="10" t="e">
        <f ca="1">-OFFSET(#REF!,COLUMN(X56)-3,0,1,1)</f>
        <v>#REF!</v>
      </c>
      <c r="Y59" s="10" t="e">
        <f ca="1">-OFFSET(#REF!,COLUMN(Y56)-3,0,1,1)</f>
        <v>#REF!</v>
      </c>
      <c r="Z59" s="10" t="e">
        <f ca="1">-OFFSET(#REF!,COLUMN(Z56)-3,0,1,1)</f>
        <v>#REF!</v>
      </c>
      <c r="AA59" s="10" t="e">
        <f ca="1">-OFFSET(#REF!,COLUMN(AA56)-3,0,1,1)</f>
        <v>#REF!</v>
      </c>
      <c r="AB59" s="10" t="e">
        <f ca="1">SUM(P59:AA59)</f>
        <v>#REF!</v>
      </c>
      <c r="AC59" s="10" t="e">
        <f ca="1">-OFFSET(#REF!,COLUMN(AC56)-4,0,1,1)</f>
        <v>#REF!</v>
      </c>
      <c r="AD59" s="10" t="e">
        <f ca="1">-OFFSET(#REF!,COLUMN(AD56)-4,0,1,1)</f>
        <v>#REF!</v>
      </c>
      <c r="AE59" s="10" t="e">
        <f ca="1">-OFFSET(#REF!,COLUMN(AE56)-4,0,1,1)</f>
        <v>#REF!</v>
      </c>
      <c r="AF59" s="10" t="e">
        <f ca="1">-OFFSET(#REF!,COLUMN(AF56)-4,0,1,1)</f>
        <v>#REF!</v>
      </c>
      <c r="AG59" s="10" t="e">
        <f ca="1">-OFFSET(#REF!,COLUMN(AG56)-4,0,1,1)</f>
        <v>#REF!</v>
      </c>
      <c r="AH59" s="10" t="e">
        <f ca="1">-OFFSET(#REF!,COLUMN(AH56)-4,0,1,1)</f>
        <v>#REF!</v>
      </c>
      <c r="AI59" s="10" t="e">
        <f ca="1">-OFFSET(#REF!,COLUMN(AI56)-4,0,1,1)</f>
        <v>#REF!</v>
      </c>
      <c r="AJ59" s="10" t="e">
        <f ca="1">-OFFSET(#REF!,COLUMN(AJ56)-4,0,1,1)</f>
        <v>#REF!</v>
      </c>
      <c r="AK59" s="10" t="e">
        <f ca="1">-OFFSET(#REF!,COLUMN(AK56)-4,0,1,1)</f>
        <v>#REF!</v>
      </c>
      <c r="AL59" s="10" t="e">
        <f ca="1">-OFFSET(#REF!,COLUMN(AL56)-4,0,1,1)</f>
        <v>#REF!</v>
      </c>
      <c r="AM59" s="10" t="e">
        <f ca="1">-OFFSET(#REF!,COLUMN(AM56)-4,0,1,1)</f>
        <v>#REF!</v>
      </c>
      <c r="AN59" s="10" t="e">
        <f ca="1">-OFFSET(#REF!,COLUMN(AN56)-4,0,1,1)</f>
        <v>#REF!</v>
      </c>
      <c r="AO59" s="10" t="e">
        <f ca="1">SUM(AC59:AN59)</f>
        <v>#REF!</v>
      </c>
    </row>
    <row r="60" spans="1:41" s="14" customFormat="1" ht="15" customHeight="1" x14ac:dyDescent="0.2">
      <c r="B60" s="56" t="s">
        <v>73</v>
      </c>
      <c r="C60" s="64" t="e">
        <f ca="1">SUM(C57:C59)</f>
        <v>#REF!</v>
      </c>
      <c r="D60" s="10"/>
      <c r="E60" s="64" t="e">
        <f t="shared" ca="1" si="23"/>
        <v>#REF!</v>
      </c>
      <c r="F60" s="64" t="e">
        <f t="shared" ca="1" si="23"/>
        <v>#REF!</v>
      </c>
      <c r="G60" s="64" t="e">
        <f t="shared" ca="1" si="23"/>
        <v>#REF!</v>
      </c>
      <c r="H60" s="64" t="e">
        <f t="shared" ca="1" si="23"/>
        <v>#REF!</v>
      </c>
      <c r="I60" s="64" t="e">
        <f t="shared" ca="1" si="23"/>
        <v>#REF!</v>
      </c>
      <c r="J60" s="64" t="e">
        <f t="shared" ca="1" si="23"/>
        <v>#REF!</v>
      </c>
      <c r="K60" s="64" t="e">
        <f t="shared" ca="1" si="23"/>
        <v>#REF!</v>
      </c>
      <c r="L60" s="64" t="e">
        <f t="shared" ca="1" si="23"/>
        <v>#REF!</v>
      </c>
      <c r="M60" s="64" t="e">
        <f t="shared" ca="1" si="23"/>
        <v>#REF!</v>
      </c>
      <c r="N60" s="64" t="e">
        <f t="shared" ca="1" si="23"/>
        <v>#REF!</v>
      </c>
      <c r="O60" s="64" t="e">
        <f t="shared" ca="1" si="23"/>
        <v>#REF!</v>
      </c>
      <c r="P60" s="64" t="e">
        <f t="shared" ca="1" si="23"/>
        <v>#REF!</v>
      </c>
      <c r="Q60" s="64" t="e">
        <f t="shared" ca="1" si="23"/>
        <v>#REF!</v>
      </c>
      <c r="R60" s="64" t="e">
        <f t="shared" ca="1" si="23"/>
        <v>#REF!</v>
      </c>
      <c r="S60" s="64" t="e">
        <f t="shared" ca="1" si="23"/>
        <v>#REF!</v>
      </c>
      <c r="T60" s="64" t="e">
        <f t="shared" ca="1" si="23"/>
        <v>#REF!</v>
      </c>
      <c r="U60" s="64" t="e">
        <f t="shared" ca="1" si="23"/>
        <v>#REF!</v>
      </c>
      <c r="V60" s="64" t="e">
        <f t="shared" ca="1" si="23"/>
        <v>#REF!</v>
      </c>
      <c r="W60" s="64" t="e">
        <f t="shared" ca="1" si="23"/>
        <v>#REF!</v>
      </c>
      <c r="X60" s="64" t="e">
        <f t="shared" ca="1" si="23"/>
        <v>#REF!</v>
      </c>
      <c r="Y60" s="64" t="e">
        <f t="shared" ca="1" si="23"/>
        <v>#REF!</v>
      </c>
      <c r="Z60" s="64" t="e">
        <f t="shared" ca="1" si="23"/>
        <v>#REF!</v>
      </c>
      <c r="AA60" s="64" t="e">
        <f t="shared" ca="1" si="23"/>
        <v>#REF!</v>
      </c>
      <c r="AB60" s="64" t="e">
        <f t="shared" ca="1" si="23"/>
        <v>#REF!</v>
      </c>
      <c r="AC60" s="64" t="e">
        <f t="shared" ca="1" si="23"/>
        <v>#REF!</v>
      </c>
      <c r="AD60" s="64" t="e">
        <f t="shared" ca="1" si="23"/>
        <v>#REF!</v>
      </c>
      <c r="AE60" s="64" t="e">
        <f t="shared" ca="1" si="23"/>
        <v>#REF!</v>
      </c>
      <c r="AF60" s="64" t="e">
        <f t="shared" ca="1" si="23"/>
        <v>#REF!</v>
      </c>
      <c r="AG60" s="64" t="e">
        <f t="shared" ca="1" si="23"/>
        <v>#REF!</v>
      </c>
      <c r="AH60" s="64" t="e">
        <f t="shared" ca="1" si="23"/>
        <v>#REF!</v>
      </c>
      <c r="AI60" s="64" t="e">
        <f t="shared" ca="1" si="23"/>
        <v>#REF!</v>
      </c>
      <c r="AJ60" s="64" t="e">
        <f t="shared" ca="1" si="23"/>
        <v>#REF!</v>
      </c>
      <c r="AK60" s="64" t="e">
        <f t="shared" ca="1" si="23"/>
        <v>#REF!</v>
      </c>
      <c r="AL60" s="64" t="e">
        <f t="shared" ca="1" si="23"/>
        <v>#REF!</v>
      </c>
      <c r="AM60" s="64" t="e">
        <f t="shared" ca="1" si="23"/>
        <v>#REF!</v>
      </c>
      <c r="AN60" s="64" t="e">
        <f t="shared" ca="1" si="23"/>
        <v>#REF!</v>
      </c>
      <c r="AO60" s="64" t="e">
        <f t="shared" ca="1" si="23"/>
        <v>#REF!</v>
      </c>
    </row>
    <row r="61" spans="1:41" ht="15" customHeight="1" x14ac:dyDescent="0.2">
      <c r="C61" s="10"/>
      <c r="D61" s="10" t="e">
        <f t="shared" ref="D61:AO62" ca="1" si="24">SUM(D49,D53,D59)</f>
        <v>#REF!</v>
      </c>
      <c r="E61" s="10"/>
      <c r="F61" s="10"/>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row>
    <row r="62" spans="1:41" ht="15" customHeight="1" x14ac:dyDescent="0.2">
      <c r="B62" s="9" t="s">
        <v>74</v>
      </c>
      <c r="C62" s="10" t="e">
        <f ca="1">SUM(C50,C54,C60)</f>
        <v>#REF!</v>
      </c>
      <c r="D62" s="10"/>
      <c r="E62" s="10" t="e">
        <f t="shared" ca="1" si="24"/>
        <v>#REF!</v>
      </c>
      <c r="F62" s="10" t="e">
        <f t="shared" ca="1" si="24"/>
        <v>#REF!</v>
      </c>
      <c r="G62" s="10" t="e">
        <f t="shared" ca="1" si="24"/>
        <v>#REF!</v>
      </c>
      <c r="H62" s="10" t="e">
        <f t="shared" ca="1" si="24"/>
        <v>#REF!</v>
      </c>
      <c r="I62" s="10" t="e">
        <f t="shared" ca="1" si="24"/>
        <v>#REF!</v>
      </c>
      <c r="J62" s="10" t="e">
        <f t="shared" ca="1" si="24"/>
        <v>#REF!</v>
      </c>
      <c r="K62" s="10" t="e">
        <f t="shared" ca="1" si="24"/>
        <v>#REF!</v>
      </c>
      <c r="L62" s="10" t="e">
        <f t="shared" ca="1" si="24"/>
        <v>#REF!</v>
      </c>
      <c r="M62" s="10" t="e">
        <f t="shared" ca="1" si="24"/>
        <v>#REF!</v>
      </c>
      <c r="N62" s="10" t="e">
        <f t="shared" ca="1" si="24"/>
        <v>#REF!</v>
      </c>
      <c r="O62" s="10" t="e">
        <f t="shared" ca="1" si="24"/>
        <v>#REF!</v>
      </c>
      <c r="P62" s="10" t="e">
        <f t="shared" ca="1" si="24"/>
        <v>#REF!</v>
      </c>
      <c r="Q62" s="10" t="e">
        <f t="shared" ca="1" si="24"/>
        <v>#REF!</v>
      </c>
      <c r="R62" s="10" t="e">
        <f t="shared" ca="1" si="24"/>
        <v>#REF!</v>
      </c>
      <c r="S62" s="10" t="e">
        <f t="shared" ca="1" si="24"/>
        <v>#REF!</v>
      </c>
      <c r="T62" s="10" t="e">
        <f t="shared" ca="1" si="24"/>
        <v>#REF!</v>
      </c>
      <c r="U62" s="10" t="e">
        <f t="shared" ca="1" si="24"/>
        <v>#REF!</v>
      </c>
      <c r="V62" s="10" t="e">
        <f t="shared" ca="1" si="24"/>
        <v>#REF!</v>
      </c>
      <c r="W62" s="10" t="e">
        <f t="shared" ca="1" si="24"/>
        <v>#REF!</v>
      </c>
      <c r="X62" s="10" t="e">
        <f t="shared" ca="1" si="24"/>
        <v>#REF!</v>
      </c>
      <c r="Y62" s="10" t="e">
        <f t="shared" ca="1" si="24"/>
        <v>#REF!</v>
      </c>
      <c r="Z62" s="10" t="e">
        <f t="shared" ca="1" si="24"/>
        <v>#REF!</v>
      </c>
      <c r="AA62" s="10" t="e">
        <f t="shared" ca="1" si="24"/>
        <v>#REF!</v>
      </c>
      <c r="AB62" s="10" t="e">
        <f t="shared" ca="1" si="24"/>
        <v>#REF!</v>
      </c>
      <c r="AC62" s="10" t="e">
        <f t="shared" ca="1" si="24"/>
        <v>#REF!</v>
      </c>
      <c r="AD62" s="10" t="e">
        <f t="shared" ca="1" si="24"/>
        <v>#REF!</v>
      </c>
      <c r="AE62" s="10" t="e">
        <f t="shared" ca="1" si="24"/>
        <v>#REF!</v>
      </c>
      <c r="AF62" s="10" t="e">
        <f t="shared" ca="1" si="24"/>
        <v>#REF!</v>
      </c>
      <c r="AG62" s="10" t="e">
        <f t="shared" ca="1" si="24"/>
        <v>#REF!</v>
      </c>
      <c r="AH62" s="10" t="e">
        <f t="shared" ca="1" si="24"/>
        <v>#REF!</v>
      </c>
      <c r="AI62" s="10" t="e">
        <f t="shared" ca="1" si="24"/>
        <v>#REF!</v>
      </c>
      <c r="AJ62" s="10" t="e">
        <f t="shared" ca="1" si="24"/>
        <v>#REF!</v>
      </c>
      <c r="AK62" s="10" t="e">
        <f t="shared" ca="1" si="24"/>
        <v>#REF!</v>
      </c>
      <c r="AL62" s="10" t="e">
        <f t="shared" ca="1" si="24"/>
        <v>#REF!</v>
      </c>
      <c r="AM62" s="10" t="e">
        <f t="shared" ca="1" si="24"/>
        <v>#REF!</v>
      </c>
      <c r="AN62" s="10" t="e">
        <f t="shared" ca="1" si="24"/>
        <v>#REF!</v>
      </c>
      <c r="AO62" s="10" t="e">
        <f t="shared" ca="1" si="24"/>
        <v>#REF!</v>
      </c>
    </row>
    <row r="63" spans="1:41" ht="15" customHeight="1" x14ac:dyDescent="0.2">
      <c r="C63" s="10"/>
      <c r="D63" s="10" t="e">
        <f ca="1">C66</f>
        <v>#REF!</v>
      </c>
      <c r="E63" s="10"/>
      <c r="F63" s="10"/>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row>
    <row r="64" spans="1:41" ht="15" customHeight="1" x14ac:dyDescent="0.2">
      <c r="B64" s="9" t="s">
        <v>75</v>
      </c>
      <c r="C64" s="10">
        <f>BalanceSheets!C10</f>
        <v>0</v>
      </c>
      <c r="D64" s="10"/>
      <c r="E64" s="10" t="e">
        <f ca="1">D65</f>
        <v>#REF!</v>
      </c>
      <c r="F64" s="10" t="e">
        <f t="shared" ref="F64:AN64" ca="1" si="25">E66</f>
        <v>#REF!</v>
      </c>
      <c r="G64" s="10" t="e">
        <f t="shared" ca="1" si="25"/>
        <v>#REF!</v>
      </c>
      <c r="H64" s="10" t="e">
        <f t="shared" ca="1" si="25"/>
        <v>#REF!</v>
      </c>
      <c r="I64" s="10" t="e">
        <f t="shared" ca="1" si="25"/>
        <v>#REF!</v>
      </c>
      <c r="J64" s="10" t="e">
        <f t="shared" ca="1" si="25"/>
        <v>#REF!</v>
      </c>
      <c r="K64" s="10" t="e">
        <f t="shared" ca="1" si="25"/>
        <v>#REF!</v>
      </c>
      <c r="L64" s="10" t="e">
        <f t="shared" ca="1" si="25"/>
        <v>#REF!</v>
      </c>
      <c r="M64" s="10" t="e">
        <f t="shared" ca="1" si="25"/>
        <v>#REF!</v>
      </c>
      <c r="N64" s="10" t="e">
        <f t="shared" ca="1" si="25"/>
        <v>#REF!</v>
      </c>
      <c r="O64" s="10">
        <f>C64</f>
        <v>0</v>
      </c>
      <c r="P64" s="10" t="e">
        <f t="shared" ca="1" si="25"/>
        <v>#REF!</v>
      </c>
      <c r="Q64" s="10" t="e">
        <f t="shared" ca="1" si="25"/>
        <v>#REF!</v>
      </c>
      <c r="R64" s="10" t="e">
        <f t="shared" ca="1" si="25"/>
        <v>#REF!</v>
      </c>
      <c r="S64" s="10" t="e">
        <f t="shared" ca="1" si="25"/>
        <v>#REF!</v>
      </c>
      <c r="T64" s="10" t="e">
        <f t="shared" ca="1" si="25"/>
        <v>#REF!</v>
      </c>
      <c r="U64" s="10" t="e">
        <f t="shared" ca="1" si="25"/>
        <v>#REF!</v>
      </c>
      <c r="V64" s="10" t="e">
        <f t="shared" ca="1" si="25"/>
        <v>#REF!</v>
      </c>
      <c r="W64" s="10" t="e">
        <f t="shared" ca="1" si="25"/>
        <v>#REF!</v>
      </c>
      <c r="X64" s="10" t="e">
        <f t="shared" ca="1" si="25"/>
        <v>#REF!</v>
      </c>
      <c r="Y64" s="10" t="e">
        <f t="shared" ca="1" si="25"/>
        <v>#REF!</v>
      </c>
      <c r="Z64" s="10" t="e">
        <f t="shared" ca="1" si="25"/>
        <v>#REF!</v>
      </c>
      <c r="AA64" s="10" t="e">
        <f t="shared" ca="1" si="25"/>
        <v>#REF!</v>
      </c>
      <c r="AB64" s="10" t="e">
        <f ca="1">P64</f>
        <v>#REF!</v>
      </c>
      <c r="AC64" s="10" t="e">
        <f t="shared" ca="1" si="25"/>
        <v>#REF!</v>
      </c>
      <c r="AD64" s="10" t="e">
        <f t="shared" ca="1" si="25"/>
        <v>#REF!</v>
      </c>
      <c r="AE64" s="10" t="e">
        <f t="shared" ca="1" si="25"/>
        <v>#REF!</v>
      </c>
      <c r="AF64" s="10" t="e">
        <f t="shared" ca="1" si="25"/>
        <v>#REF!</v>
      </c>
      <c r="AG64" s="10" t="e">
        <f t="shared" ca="1" si="25"/>
        <v>#REF!</v>
      </c>
      <c r="AH64" s="10" t="e">
        <f t="shared" ca="1" si="25"/>
        <v>#REF!</v>
      </c>
      <c r="AI64" s="10" t="e">
        <f t="shared" ca="1" si="25"/>
        <v>#REF!</v>
      </c>
      <c r="AJ64" s="10" t="e">
        <f t="shared" ca="1" si="25"/>
        <v>#REF!</v>
      </c>
      <c r="AK64" s="10" t="e">
        <f t="shared" ca="1" si="25"/>
        <v>#REF!</v>
      </c>
      <c r="AL64" s="10" t="e">
        <f t="shared" ca="1" si="25"/>
        <v>#REF!</v>
      </c>
      <c r="AM64" s="10" t="e">
        <f t="shared" ca="1" si="25"/>
        <v>#REF!</v>
      </c>
      <c r="AN64" s="10" t="e">
        <f t="shared" ca="1" si="25"/>
        <v>#REF!</v>
      </c>
      <c r="AO64" s="10" t="e">
        <f ca="1">AC64</f>
        <v>#REF!</v>
      </c>
    </row>
    <row r="65" spans="2:41" ht="15" customHeight="1" thickBot="1" x14ac:dyDescent="0.25">
      <c r="C65" s="10"/>
      <c r="D65" s="53" t="e">
        <f t="shared" ref="D65:AO66" ca="1" si="26">SUM(D61,D63)</f>
        <v>#REF!</v>
      </c>
      <c r="E65" s="10"/>
      <c r="F65" s="10"/>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row>
    <row r="66" spans="2:41" ht="15" customHeight="1" thickTop="1" thickBot="1" x14ac:dyDescent="0.25">
      <c r="B66" s="37" t="s">
        <v>76</v>
      </c>
      <c r="C66" s="53" t="e">
        <f ca="1">SUM(C62,C64)</f>
        <v>#REF!</v>
      </c>
      <c r="E66" s="53" t="e">
        <f t="shared" ca="1" si="26"/>
        <v>#REF!</v>
      </c>
      <c r="F66" s="53" t="e">
        <f t="shared" ca="1" si="26"/>
        <v>#REF!</v>
      </c>
      <c r="G66" s="53" t="e">
        <f t="shared" ca="1" si="26"/>
        <v>#REF!</v>
      </c>
      <c r="H66" s="53" t="e">
        <f t="shared" ca="1" si="26"/>
        <v>#REF!</v>
      </c>
      <c r="I66" s="53" t="e">
        <f t="shared" ca="1" si="26"/>
        <v>#REF!</v>
      </c>
      <c r="J66" s="53" t="e">
        <f t="shared" ca="1" si="26"/>
        <v>#REF!</v>
      </c>
      <c r="K66" s="53" t="e">
        <f t="shared" ca="1" si="26"/>
        <v>#REF!</v>
      </c>
      <c r="L66" s="53" t="e">
        <f t="shared" ca="1" si="26"/>
        <v>#REF!</v>
      </c>
      <c r="M66" s="53" t="e">
        <f t="shared" ca="1" si="26"/>
        <v>#REF!</v>
      </c>
      <c r="N66" s="53" t="e">
        <f t="shared" ca="1" si="26"/>
        <v>#REF!</v>
      </c>
      <c r="O66" s="53" t="e">
        <f t="shared" ca="1" si="26"/>
        <v>#REF!</v>
      </c>
      <c r="P66" s="53" t="e">
        <f t="shared" ca="1" si="26"/>
        <v>#REF!</v>
      </c>
      <c r="Q66" s="53" t="e">
        <f t="shared" ca="1" si="26"/>
        <v>#REF!</v>
      </c>
      <c r="R66" s="53" t="e">
        <f t="shared" ca="1" si="26"/>
        <v>#REF!</v>
      </c>
      <c r="S66" s="53" t="e">
        <f t="shared" ca="1" si="26"/>
        <v>#REF!</v>
      </c>
      <c r="T66" s="53" t="e">
        <f t="shared" ca="1" si="26"/>
        <v>#REF!</v>
      </c>
      <c r="U66" s="53" t="e">
        <f t="shared" ca="1" si="26"/>
        <v>#REF!</v>
      </c>
      <c r="V66" s="53" t="e">
        <f t="shared" ca="1" si="26"/>
        <v>#REF!</v>
      </c>
      <c r="W66" s="53" t="e">
        <f t="shared" ca="1" si="26"/>
        <v>#REF!</v>
      </c>
      <c r="X66" s="53" t="e">
        <f t="shared" ca="1" si="26"/>
        <v>#REF!</v>
      </c>
      <c r="Y66" s="53" t="e">
        <f t="shared" ca="1" si="26"/>
        <v>#REF!</v>
      </c>
      <c r="Z66" s="53" t="e">
        <f t="shared" ca="1" si="26"/>
        <v>#REF!</v>
      </c>
      <c r="AA66" s="53" t="e">
        <f t="shared" ca="1" si="26"/>
        <v>#REF!</v>
      </c>
      <c r="AB66" s="53" t="e">
        <f t="shared" ca="1" si="26"/>
        <v>#REF!</v>
      </c>
      <c r="AC66" s="53" t="e">
        <f t="shared" ca="1" si="26"/>
        <v>#REF!</v>
      </c>
      <c r="AD66" s="53" t="e">
        <f t="shared" ca="1" si="26"/>
        <v>#REF!</v>
      </c>
      <c r="AE66" s="53" t="e">
        <f t="shared" ca="1" si="26"/>
        <v>#REF!</v>
      </c>
      <c r="AF66" s="53" t="e">
        <f t="shared" ca="1" si="26"/>
        <v>#REF!</v>
      </c>
      <c r="AG66" s="53" t="e">
        <f t="shared" ca="1" si="26"/>
        <v>#REF!</v>
      </c>
      <c r="AH66" s="53" t="e">
        <f t="shared" ca="1" si="26"/>
        <v>#REF!</v>
      </c>
      <c r="AI66" s="53" t="e">
        <f t="shared" ca="1" si="26"/>
        <v>#REF!</v>
      </c>
      <c r="AJ66" s="53" t="e">
        <f t="shared" ca="1" si="26"/>
        <v>#REF!</v>
      </c>
      <c r="AK66" s="53" t="e">
        <f t="shared" ca="1" si="26"/>
        <v>#REF!</v>
      </c>
      <c r="AL66" s="53" t="e">
        <f t="shared" ca="1" si="26"/>
        <v>#REF!</v>
      </c>
      <c r="AM66" s="53" t="e">
        <f t="shared" ca="1" si="26"/>
        <v>#REF!</v>
      </c>
      <c r="AN66" s="53" t="e">
        <f t="shared" ca="1" si="26"/>
        <v>#REF!</v>
      </c>
      <c r="AO66" s="53" t="e">
        <f t="shared" ca="1" si="26"/>
        <v>#REF!</v>
      </c>
    </row>
    <row r="67" spans="2:41" ht="15" customHeight="1" thickTop="1" x14ac:dyDescent="0.2"/>
    <row r="68" spans="2:41" ht="15" customHeight="1" x14ac:dyDescent="0.2">
      <c r="B68" s="8"/>
    </row>
    <row r="72" spans="2:41" ht="15" customHeight="1" x14ac:dyDescent="0.2">
      <c r="D72" s="17"/>
    </row>
    <row r="73" spans="2:41" s="17" customFormat="1" ht="15" customHeight="1" x14ac:dyDescent="0.2">
      <c r="D73" s="23"/>
    </row>
    <row r="77" spans="2:41" ht="15" customHeight="1" x14ac:dyDescent="0.2">
      <c r="D77" s="17"/>
    </row>
    <row r="78" spans="2:41" s="17" customFormat="1" ht="15" customHeight="1" x14ac:dyDescent="0.2"/>
    <row r="79" spans="2:41" s="17" customFormat="1" ht="15" customHeight="1" x14ac:dyDescent="0.2">
      <c r="D79" s="23"/>
    </row>
    <row r="93" spans="4:4" ht="15" customHeight="1" x14ac:dyDescent="0.2">
      <c r="D93" s="17"/>
    </row>
    <row r="94" spans="4:4" s="17" customFormat="1" ht="15" customHeight="1" x14ac:dyDescent="0.2">
      <c r="D94" s="23"/>
    </row>
  </sheetData>
  <phoneticPr fontId="5" type="noConversion"/>
  <pageMargins left="0.55118110236220474" right="0.55118110236220474" top="0.59055118110236227" bottom="0.59055118110236227" header="0.39370078740157483" footer="0.39370078740157483"/>
  <pageSetup paperSize="9" scale="65" fitToWidth="3" orientation="landscape" r:id="rId1"/>
  <headerFooter alignWithMargins="0">
    <oddFooter>&amp;C&amp;9Page &amp;P of &amp;N</oddFooter>
  </headerFooter>
  <rowBreaks count="1" manualBreakCount="1">
    <brk id="32" min="1" max="40" man="1"/>
  </rowBreaks>
  <colBreaks count="2" manualBreakCount="2">
    <brk id="15" max="58" man="1"/>
    <brk id="28" max="58" man="1"/>
  </colBreaks>
  <ignoredErrors>
    <ignoredError sqref="AB38:AB42 O38:O42 O47:O48 AB47:AB48 AO47 O64 AB64 O11 AB11" 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8044F-C995-4A69-913B-705BEEF083E7}">
  <dimension ref="A1:V34"/>
  <sheetViews>
    <sheetView topLeftCell="L1" workbookViewId="0">
      <selection activeCell="N12" sqref="N12"/>
    </sheetView>
  </sheetViews>
  <sheetFormatPr defaultRowHeight="12.75" x14ac:dyDescent="0.2"/>
  <cols>
    <col min="1" max="1" width="36" bestFit="1" customWidth="1"/>
    <col min="2" max="2" width="19.85546875" bestFit="1" customWidth="1"/>
    <col min="3" max="3" width="3.28515625" customWidth="1"/>
    <col min="4" max="4" width="23.140625" bestFit="1" customWidth="1"/>
    <col min="5" max="5" width="4" customWidth="1"/>
    <col min="7" max="7" width="17.85546875" bestFit="1" customWidth="1"/>
    <col min="8" max="8" width="24.5703125" customWidth="1"/>
    <col min="9" max="9" width="12.42578125" bestFit="1" customWidth="1"/>
    <col min="14" max="14" width="13.7109375" customWidth="1"/>
    <col min="18" max="18" width="15.140625" customWidth="1"/>
    <col min="19" max="19" width="14.85546875" customWidth="1"/>
    <col min="20" max="20" width="18.140625" customWidth="1"/>
    <col min="21" max="21" width="10.85546875" customWidth="1"/>
  </cols>
  <sheetData>
    <row r="1" spans="1:22" ht="13.5" thickBot="1" x14ac:dyDescent="0.25"/>
    <row r="2" spans="1:22" ht="39" thickBot="1" x14ac:dyDescent="0.25">
      <c r="N2" s="147" t="s">
        <v>392</v>
      </c>
      <c r="R2" s="109"/>
      <c r="S2" s="121" t="s">
        <v>393</v>
      </c>
      <c r="T2" s="111"/>
      <c r="U2" s="147" t="s">
        <v>396</v>
      </c>
      <c r="V2" s="163" t="s">
        <v>397</v>
      </c>
    </row>
    <row r="3" spans="1:22" x14ac:dyDescent="0.2">
      <c r="A3" s="109"/>
      <c r="B3" s="121" t="s">
        <v>355</v>
      </c>
      <c r="C3" s="110"/>
      <c r="D3" s="122"/>
      <c r="E3" s="123"/>
      <c r="G3" s="109"/>
      <c r="H3" s="121" t="s">
        <v>354</v>
      </c>
      <c r="I3" s="111"/>
      <c r="K3" s="89" t="s">
        <v>368</v>
      </c>
      <c r="L3" s="89">
        <f>1/1.65</f>
        <v>0.60606060606060608</v>
      </c>
      <c r="N3">
        <v>1.65</v>
      </c>
      <c r="R3" s="112"/>
      <c r="T3" s="113"/>
      <c r="V3" s="160"/>
    </row>
    <row r="4" spans="1:22" x14ac:dyDescent="0.2">
      <c r="A4" s="112"/>
      <c r="E4" s="113"/>
      <c r="G4" s="112"/>
      <c r="I4" s="113"/>
      <c r="K4" s="89" t="s">
        <v>369</v>
      </c>
      <c r="L4" s="89">
        <f>1/1.649</f>
        <v>0.60642813826561548</v>
      </c>
      <c r="N4">
        <v>1.649</v>
      </c>
      <c r="R4" s="124" t="s">
        <v>358</v>
      </c>
      <c r="S4" s="89" t="s">
        <v>362</v>
      </c>
      <c r="T4" s="158" t="s">
        <v>363</v>
      </c>
      <c r="V4" s="160"/>
    </row>
    <row r="5" spans="1:22" x14ac:dyDescent="0.2">
      <c r="A5" s="124" t="s">
        <v>358</v>
      </c>
      <c r="B5" s="135" t="s">
        <v>365</v>
      </c>
      <c r="D5" s="135" t="s">
        <v>366</v>
      </c>
      <c r="E5" s="125"/>
      <c r="G5" s="124" t="s">
        <v>358</v>
      </c>
      <c r="H5" s="89" t="s">
        <v>362</v>
      </c>
      <c r="I5" s="125" t="s">
        <v>363</v>
      </c>
      <c r="K5" s="89" t="s">
        <v>370</v>
      </c>
      <c r="L5">
        <f>1/1.674</f>
        <v>0.59737156511350065</v>
      </c>
      <c r="N5">
        <v>1.6739999999999999</v>
      </c>
      <c r="R5" s="126" t="s">
        <v>356</v>
      </c>
      <c r="S5">
        <v>130</v>
      </c>
      <c r="T5" s="159">
        <v>130</v>
      </c>
      <c r="V5" s="160"/>
    </row>
    <row r="6" spans="1:22" x14ac:dyDescent="0.2">
      <c r="A6" s="126" t="s">
        <v>356</v>
      </c>
      <c r="B6" s="127">
        <v>130</v>
      </c>
      <c r="D6" s="127">
        <v>130</v>
      </c>
      <c r="E6" s="113"/>
      <c r="G6" s="126" t="s">
        <v>356</v>
      </c>
      <c r="H6">
        <v>45</v>
      </c>
      <c r="I6" s="113">
        <v>45</v>
      </c>
      <c r="K6" s="89" t="s">
        <v>371</v>
      </c>
      <c r="L6">
        <f>1/1.692</f>
        <v>0.59101654846335694</v>
      </c>
      <c r="N6">
        <v>1.6919999999999999</v>
      </c>
      <c r="R6" s="126" t="s">
        <v>357</v>
      </c>
      <c r="S6" s="127">
        <f>60/0.56</f>
        <v>107.14285714285714</v>
      </c>
      <c r="T6" s="155">
        <f>60/0.59</f>
        <v>101.69491525423729</v>
      </c>
      <c r="V6" s="160"/>
    </row>
    <row r="7" spans="1:22" x14ac:dyDescent="0.2">
      <c r="A7" s="126" t="s">
        <v>357</v>
      </c>
      <c r="B7" s="127">
        <f>60/0.56</f>
        <v>107.14285714285714</v>
      </c>
      <c r="C7" s="127"/>
      <c r="D7" s="127">
        <f>60/0.59</f>
        <v>101.69491525423729</v>
      </c>
      <c r="E7" s="128"/>
      <c r="G7" s="126" t="s">
        <v>357</v>
      </c>
      <c r="H7" s="127">
        <f>20/0.56</f>
        <v>35.714285714285708</v>
      </c>
      <c r="I7" s="155">
        <f>25/0.59</f>
        <v>42.372881355932208</v>
      </c>
      <c r="K7" s="89" t="s">
        <v>391</v>
      </c>
      <c r="L7">
        <f>1/1.6949</f>
        <v>0.59000531004779044</v>
      </c>
      <c r="N7">
        <v>1.69</v>
      </c>
      <c r="R7" s="112"/>
      <c r="T7" s="113"/>
      <c r="V7" s="160"/>
    </row>
    <row r="8" spans="1:22" x14ac:dyDescent="0.2">
      <c r="A8" s="112"/>
      <c r="B8" s="127"/>
      <c r="C8" s="127"/>
      <c r="D8" s="127"/>
      <c r="E8" s="128"/>
      <c r="G8" s="112"/>
      <c r="I8" s="113"/>
      <c r="R8" s="156" t="s">
        <v>359</v>
      </c>
      <c r="S8" s="157">
        <f>S5-S6</f>
        <v>22.857142857142861</v>
      </c>
      <c r="T8" s="155">
        <f>T5-T6</f>
        <v>28.305084745762713</v>
      </c>
      <c r="U8">
        <v>13</v>
      </c>
      <c r="V8" s="160">
        <f>T8*U8</f>
        <v>367.96610169491527</v>
      </c>
    </row>
    <row r="9" spans="1:22" x14ac:dyDescent="0.2">
      <c r="A9" s="126" t="s">
        <v>359</v>
      </c>
      <c r="B9" s="127">
        <f>B6-B7</f>
        <v>22.857142857142861</v>
      </c>
      <c r="C9" s="127"/>
      <c r="D9" s="127">
        <f>D6-D7</f>
        <v>28.305084745762713</v>
      </c>
      <c r="E9" s="128"/>
      <c r="G9" s="126" t="s">
        <v>359</v>
      </c>
      <c r="H9" s="127">
        <f>H6-H7</f>
        <v>9.2857142857142918</v>
      </c>
      <c r="I9" s="128">
        <f>I6-I7</f>
        <v>2.6271186440677923</v>
      </c>
      <c r="R9" s="126"/>
      <c r="T9" s="113"/>
    </row>
    <row r="10" spans="1:22" x14ac:dyDescent="0.2">
      <c r="A10" s="112"/>
      <c r="E10" s="113"/>
      <c r="G10" s="126"/>
      <c r="I10" s="113"/>
      <c r="R10" s="112"/>
      <c r="T10" s="113"/>
    </row>
    <row r="11" spans="1:22" x14ac:dyDescent="0.2">
      <c r="A11" s="112"/>
      <c r="E11" s="113"/>
      <c r="G11" s="112"/>
      <c r="I11" s="113"/>
      <c r="R11" s="112"/>
      <c r="S11" s="127"/>
      <c r="T11" s="128"/>
    </row>
    <row r="12" spans="1:22" x14ac:dyDescent="0.2">
      <c r="A12" s="124" t="s">
        <v>360</v>
      </c>
      <c r="B12" s="127">
        <f>B9*13</f>
        <v>297.14285714285722</v>
      </c>
      <c r="C12" s="127"/>
      <c r="D12" s="127">
        <f>D9*13</f>
        <v>367.96610169491527</v>
      </c>
      <c r="E12" s="128"/>
      <c r="G12" s="112"/>
      <c r="H12" s="127"/>
      <c r="I12" s="128"/>
      <c r="R12" s="112"/>
      <c r="T12" s="113"/>
    </row>
    <row r="13" spans="1:22" x14ac:dyDescent="0.2">
      <c r="A13" s="112"/>
      <c r="E13" s="113"/>
      <c r="G13" s="112"/>
      <c r="I13" s="113"/>
      <c r="R13" s="112"/>
      <c r="T13" s="113"/>
    </row>
    <row r="14" spans="1:22" x14ac:dyDescent="0.2">
      <c r="A14" s="112"/>
      <c r="E14" s="113"/>
      <c r="G14" s="112"/>
      <c r="I14" s="113"/>
      <c r="R14" s="112"/>
      <c r="T14" s="113"/>
    </row>
    <row r="15" spans="1:22" x14ac:dyDescent="0.2">
      <c r="A15" s="124" t="s">
        <v>367</v>
      </c>
      <c r="E15" s="113"/>
      <c r="G15" s="112"/>
      <c r="I15" s="113"/>
      <c r="R15" s="112"/>
      <c r="T15" s="113"/>
    </row>
    <row r="16" spans="1:22" x14ac:dyDescent="0.2">
      <c r="A16" s="126" t="s">
        <v>361</v>
      </c>
      <c r="B16" s="100">
        <f>-(10*2)*6</f>
        <v>-120</v>
      </c>
      <c r="D16" s="100">
        <f>B16</f>
        <v>-120</v>
      </c>
      <c r="E16" s="129"/>
      <c r="G16" s="112"/>
      <c r="I16" s="113"/>
      <c r="R16" s="112"/>
      <c r="T16" s="113"/>
    </row>
    <row r="17" spans="1:20" x14ac:dyDescent="0.2">
      <c r="A17" s="126" t="s">
        <v>169</v>
      </c>
      <c r="B17" s="100">
        <f>-(26.95*2)*6</f>
        <v>-323.39999999999998</v>
      </c>
      <c r="D17" s="100">
        <f>B17</f>
        <v>-323.39999999999998</v>
      </c>
      <c r="E17" s="129"/>
      <c r="G17" s="112"/>
      <c r="I17" s="113"/>
      <c r="R17" s="112"/>
      <c r="T17" s="113"/>
    </row>
    <row r="18" spans="1:20" x14ac:dyDescent="0.2">
      <c r="A18" s="112"/>
      <c r="B18" s="100"/>
      <c r="E18" s="113"/>
      <c r="G18" s="112"/>
      <c r="I18" s="113"/>
      <c r="R18" s="112"/>
      <c r="T18" s="113"/>
    </row>
    <row r="19" spans="1:20" ht="13.5" thickBot="1" x14ac:dyDescent="0.25">
      <c r="A19" s="124" t="s">
        <v>364</v>
      </c>
      <c r="B19" s="133">
        <f>SUM(B12:B18)</f>
        <v>-146.25714285714275</v>
      </c>
      <c r="C19" s="134"/>
      <c r="D19" s="133">
        <f>SUM(D12:D18)</f>
        <v>-75.433898305084711</v>
      </c>
      <c r="E19" s="130"/>
      <c r="G19" s="112"/>
      <c r="I19" s="113"/>
      <c r="R19" s="114"/>
      <c r="S19" s="131"/>
      <c r="T19" s="132"/>
    </row>
    <row r="20" spans="1:20" ht="13.5" thickBot="1" x14ac:dyDescent="0.25">
      <c r="A20" s="114"/>
      <c r="B20" s="131"/>
      <c r="C20" s="131"/>
      <c r="D20" s="131"/>
      <c r="E20" s="132"/>
      <c r="G20" s="114"/>
      <c r="H20" s="131"/>
      <c r="I20" s="132"/>
    </row>
    <row r="25" spans="1:20" ht="13.5" thickBot="1" x14ac:dyDescent="0.25"/>
    <row r="26" spans="1:20" x14ac:dyDescent="0.2">
      <c r="G26" s="186" t="s">
        <v>383</v>
      </c>
      <c r="H26" s="187"/>
      <c r="I26" s="188"/>
    </row>
    <row r="27" spans="1:20" x14ac:dyDescent="0.2">
      <c r="G27" s="112"/>
      <c r="I27" s="113"/>
    </row>
    <row r="28" spans="1:20" x14ac:dyDescent="0.2">
      <c r="G28" s="150" t="s">
        <v>384</v>
      </c>
      <c r="H28" s="108">
        <v>3225</v>
      </c>
      <c r="I28" s="113"/>
    </row>
    <row r="29" spans="1:20" x14ac:dyDescent="0.2">
      <c r="G29" s="150" t="s">
        <v>385</v>
      </c>
      <c r="H29" s="108">
        <v>2195.63</v>
      </c>
      <c r="I29" s="113"/>
    </row>
    <row r="30" spans="1:20" x14ac:dyDescent="0.2">
      <c r="G30" s="150" t="s">
        <v>386</v>
      </c>
      <c r="H30" s="108">
        <v>2758.96</v>
      </c>
      <c r="I30" s="113"/>
    </row>
    <row r="31" spans="1:20" x14ac:dyDescent="0.2">
      <c r="G31" s="150" t="s">
        <v>387</v>
      </c>
      <c r="H31" s="108">
        <v>2783.72</v>
      </c>
      <c r="I31" s="113"/>
    </row>
    <row r="32" spans="1:20" x14ac:dyDescent="0.2">
      <c r="G32" s="150" t="s">
        <v>388</v>
      </c>
      <c r="H32" s="108">
        <v>2572.5300000000002</v>
      </c>
      <c r="I32" s="113"/>
    </row>
    <row r="33" spans="7:9" x14ac:dyDescent="0.2">
      <c r="G33" s="126" t="s">
        <v>389</v>
      </c>
      <c r="H33" s="108">
        <v>1410.54</v>
      </c>
      <c r="I33" s="113"/>
    </row>
    <row r="34" spans="7:9" ht="13.5" thickBot="1" x14ac:dyDescent="0.25">
      <c r="G34" s="114"/>
      <c r="H34" s="131"/>
      <c r="I34" s="132"/>
    </row>
  </sheetData>
  <mergeCells count="1">
    <mergeCell ref="G26:I26"/>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284BB-C1D3-41C7-9A21-F2E16263E3F9}">
  <dimension ref="B1:BL23"/>
  <sheetViews>
    <sheetView tabSelected="1" zoomScale="106" zoomScaleNormal="106" workbookViewId="0">
      <selection activeCell="E8" sqref="E8"/>
    </sheetView>
  </sheetViews>
  <sheetFormatPr defaultRowHeight="12.75" x14ac:dyDescent="0.2"/>
  <cols>
    <col min="1" max="1" width="3.85546875" customWidth="1"/>
    <col min="2" max="2" width="35.5703125" bestFit="1" customWidth="1"/>
    <col min="3" max="3" width="10.7109375" customWidth="1"/>
    <col min="4" max="5" width="10.7109375" style="127" customWidth="1"/>
    <col min="6" max="16" width="10.7109375" customWidth="1"/>
    <col min="17" max="17" width="14" customWidth="1"/>
    <col min="20" max="20" width="23" bestFit="1" customWidth="1"/>
  </cols>
  <sheetData>
    <row r="1" spans="2:64" s="9" customFormat="1" ht="15.75" x14ac:dyDescent="0.25">
      <c r="B1" s="5"/>
      <c r="C1" s="23"/>
      <c r="D1" s="152"/>
      <c r="E1" s="152"/>
      <c r="F1" s="23"/>
      <c r="G1" s="109">
        <v>0.57999999999999996</v>
      </c>
      <c r="H1" s="187" t="s">
        <v>176</v>
      </c>
      <c r="I1" s="187"/>
      <c r="J1" s="110"/>
      <c r="K1" s="111"/>
    </row>
    <row r="2" spans="2:64" s="9" customFormat="1" ht="15" customHeight="1" x14ac:dyDescent="0.2">
      <c r="B2" s="8" t="s">
        <v>77</v>
      </c>
      <c r="C2" s="23"/>
      <c r="D2" s="152"/>
      <c r="E2" s="152"/>
      <c r="F2" s="23"/>
      <c r="G2" s="112">
        <v>0.56999999999999995</v>
      </c>
      <c r="H2" s="189" t="s">
        <v>177</v>
      </c>
      <c r="I2" s="189"/>
      <c r="J2"/>
      <c r="K2" s="113"/>
    </row>
    <row r="3" spans="2:64" s="9" customFormat="1" ht="15" customHeight="1" x14ac:dyDescent="0.2">
      <c r="B3" s="8"/>
      <c r="C3" s="23"/>
      <c r="D3" s="152"/>
      <c r="E3" s="152"/>
      <c r="F3" s="23"/>
      <c r="G3" s="112">
        <v>26.95</v>
      </c>
      <c r="H3" t="s">
        <v>302</v>
      </c>
      <c r="I3"/>
      <c r="J3"/>
      <c r="K3" s="113"/>
    </row>
    <row r="4" spans="2:64" s="9" customFormat="1" ht="15" customHeight="1" thickBot="1" x14ac:dyDescent="0.25">
      <c r="B4" s="8"/>
      <c r="C4" s="23"/>
      <c r="D4" s="152"/>
      <c r="E4" s="152"/>
      <c r="F4" s="23"/>
      <c r="G4" s="114">
        <v>10</v>
      </c>
      <c r="H4" s="190" t="s">
        <v>178</v>
      </c>
      <c r="I4" s="190"/>
      <c r="J4" s="190"/>
      <c r="K4" s="191"/>
    </row>
    <row r="5" spans="2:64" s="9" customFormat="1" ht="15" customHeight="1" x14ac:dyDescent="0.3">
      <c r="B5" s="8"/>
      <c r="C5" s="23"/>
      <c r="D5" s="152"/>
      <c r="E5" s="152"/>
      <c r="F5" s="23"/>
      <c r="G5"/>
      <c r="H5" s="102"/>
      <c r="I5" s="102"/>
      <c r="J5" s="102"/>
      <c r="K5" s="102"/>
      <c r="R5" s="175" t="s">
        <v>405</v>
      </c>
      <c r="S5" s="176" t="s">
        <v>406</v>
      </c>
      <c r="T5" s="177" t="s">
        <v>403</v>
      </c>
      <c r="U5" s="178" t="s">
        <v>404</v>
      </c>
      <c r="V5" s="175" t="s">
        <v>473</v>
      </c>
      <c r="W5" s="176" t="s">
        <v>474</v>
      </c>
    </row>
    <row r="6" spans="2:64" s="9" customFormat="1" ht="15" customHeight="1" x14ac:dyDescent="0.25">
      <c r="B6" s="97" t="s">
        <v>303</v>
      </c>
      <c r="C6" s="23">
        <v>1681.3</v>
      </c>
      <c r="D6" s="152" t="e">
        <f t="shared" ref="D6:N6" si="0">C23</f>
        <v>#N/A</v>
      </c>
      <c r="E6" s="152" t="e">
        <f t="shared" si="0"/>
        <v>#N/A</v>
      </c>
      <c r="F6" s="23" t="e">
        <f t="shared" si="0"/>
        <v>#N/A</v>
      </c>
      <c r="G6" s="77" t="e">
        <f t="shared" si="0"/>
        <v>#N/A</v>
      </c>
      <c r="H6" s="77" t="e">
        <f t="shared" si="0"/>
        <v>#N/A</v>
      </c>
      <c r="I6" s="77" t="e">
        <f t="shared" si="0"/>
        <v>#N/A</v>
      </c>
      <c r="J6" s="77" t="e">
        <f t="shared" si="0"/>
        <v>#N/A</v>
      </c>
      <c r="K6" s="77" t="e">
        <f t="shared" si="0"/>
        <v>#N/A</v>
      </c>
      <c r="L6" s="77" t="e">
        <f t="shared" si="0"/>
        <v>#N/A</v>
      </c>
      <c r="M6" s="77" t="e">
        <f t="shared" si="0"/>
        <v>#N/A</v>
      </c>
      <c r="N6" s="77" t="e">
        <f t="shared" si="0"/>
        <v>#N/A</v>
      </c>
      <c r="O6" s="77">
        <f>C6</f>
        <v>1681.3</v>
      </c>
      <c r="P6" s="77"/>
      <c r="R6" s="173" t="s">
        <v>415</v>
      </c>
      <c r="S6" s="170">
        <v>68</v>
      </c>
      <c r="T6" s="171">
        <v>45844</v>
      </c>
      <c r="U6" s="172" t="s">
        <v>414</v>
      </c>
      <c r="V6" s="173" t="s">
        <v>415</v>
      </c>
      <c r="W6" s="170">
        <v>68</v>
      </c>
    </row>
    <row r="7" spans="2:64" s="44" customFormat="1" ht="18" customHeight="1" x14ac:dyDescent="0.25">
      <c r="B7" s="45" t="s">
        <v>477</v>
      </c>
      <c r="C7" s="46">
        <f ca="1">IF(ISBLANK(Assumptions!$B$5)=TRUE,DATE(YEAR(TODAY()),MONTH(TODAY())+1,0),DATE(YEAR(Assumptions!$B$5),MONTH(Assumptions!$B$5)+1,0))</f>
        <v>45869</v>
      </c>
      <c r="D7" s="46">
        <v>45870</v>
      </c>
      <c r="E7" s="154" t="s">
        <v>390</v>
      </c>
      <c r="F7" s="46">
        <f t="shared" ref="F7:N7" si="1">DATE(YEAR(E7),MONTH(E7)+2,0)</f>
        <v>45961</v>
      </c>
      <c r="G7" s="46">
        <f t="shared" si="1"/>
        <v>45991</v>
      </c>
      <c r="H7" s="46">
        <f t="shared" si="1"/>
        <v>46022</v>
      </c>
      <c r="I7" s="46">
        <f t="shared" si="1"/>
        <v>46053</v>
      </c>
      <c r="J7" s="46">
        <f t="shared" si="1"/>
        <v>46081</v>
      </c>
      <c r="K7" s="46">
        <f t="shared" si="1"/>
        <v>46112</v>
      </c>
      <c r="L7" s="46">
        <f t="shared" si="1"/>
        <v>46142</v>
      </c>
      <c r="M7" s="46">
        <f t="shared" si="1"/>
        <v>46173</v>
      </c>
      <c r="N7" s="46">
        <f t="shared" si="1"/>
        <v>46203</v>
      </c>
      <c r="O7" s="47" t="str">
        <f>"Year "&amp;YEAR(N7)</f>
        <v>Year 2026</v>
      </c>
      <c r="P7" s="180"/>
      <c r="Q7" s="9"/>
      <c r="R7" s="173" t="s">
        <v>4</v>
      </c>
      <c r="S7" s="170">
        <v>-20</v>
      </c>
      <c r="T7" s="171">
        <v>45869</v>
      </c>
      <c r="U7" s="172" t="s">
        <v>417</v>
      </c>
      <c r="V7" s="173" t="s">
        <v>418</v>
      </c>
      <c r="W7" s="170">
        <v>-20</v>
      </c>
      <c r="X7" s="9"/>
      <c r="Y7" s="9"/>
      <c r="Z7" s="9"/>
      <c r="AA7" s="9"/>
      <c r="AB7" s="9"/>
      <c r="AC7" s="9"/>
      <c r="AD7" s="9"/>
      <c r="AE7" s="9"/>
      <c r="AF7" s="9"/>
      <c r="AG7" s="9"/>
      <c r="AH7" s="9"/>
      <c r="AI7" s="9"/>
      <c r="AJ7" s="9"/>
      <c r="AK7" s="9"/>
      <c r="AL7" s="9"/>
      <c r="AM7" s="9"/>
      <c r="AN7" s="9"/>
      <c r="AO7" s="9"/>
      <c r="AP7" s="9"/>
      <c r="AQ7" s="9"/>
      <c r="AR7" s="9"/>
      <c r="AS7" s="9"/>
      <c r="AT7" s="9"/>
      <c r="AU7" s="9"/>
      <c r="AV7" s="9"/>
      <c r="AW7" s="9"/>
      <c r="AX7" s="9"/>
      <c r="AY7" s="9"/>
    </row>
    <row r="8" spans="2:64" ht="15" x14ac:dyDescent="0.25">
      <c r="B8" s="179" t="s">
        <v>475</v>
      </c>
      <c r="C8" s="100" t="e">
        <f>VLOOKUP(B8,BankDloads!A4:B5,2,FALSE)</f>
        <v>#N/A</v>
      </c>
      <c r="D8" s="127">
        <v>0</v>
      </c>
      <c r="E8" s="127" t="e">
        <f>DSUM(BDloads[],"SubReceipts",$B$8:$B$20)</f>
        <v>#VALUE!</v>
      </c>
      <c r="F8" s="100">
        <v>0</v>
      </c>
      <c r="G8" s="100">
        <v>0</v>
      </c>
      <c r="H8" s="100">
        <v>0</v>
      </c>
      <c r="I8" s="100">
        <v>0</v>
      </c>
      <c r="J8" s="100">
        <v>0</v>
      </c>
      <c r="K8" s="100">
        <v>0</v>
      </c>
      <c r="L8" s="100">
        <v>0</v>
      </c>
      <c r="M8" s="100">
        <v>0</v>
      </c>
      <c r="N8" s="100">
        <v>0</v>
      </c>
      <c r="O8" s="100" t="e">
        <f>SUM(C8:N8)</f>
        <v>#N/A</v>
      </c>
      <c r="P8" s="100"/>
      <c r="R8" s="173" t="s">
        <v>422</v>
      </c>
      <c r="S8" s="170">
        <v>-237.91</v>
      </c>
      <c r="T8" s="171">
        <v>45873</v>
      </c>
      <c r="U8" s="172" t="s">
        <v>421</v>
      </c>
      <c r="V8" s="173" t="s">
        <v>422</v>
      </c>
      <c r="W8" s="170">
        <v>-237.91</v>
      </c>
    </row>
    <row r="9" spans="2:64" ht="15" x14ac:dyDescent="0.25">
      <c r="B9" s="22" t="s">
        <v>166</v>
      </c>
      <c r="C9" s="100">
        <v>0</v>
      </c>
      <c r="D9" s="127">
        <v>0</v>
      </c>
      <c r="E9" s="127" t="e" cm="1">
        <f t="array" ref="E9">SUM(_xlfn.XLOOKUP($B$8:$B$20,BankDloads!$A$8:$A$20,BankDloads!$B$8:$B$20))</f>
        <v>#N/A</v>
      </c>
      <c r="F9" s="100">
        <v>0</v>
      </c>
      <c r="G9" s="100">
        <v>0</v>
      </c>
      <c r="H9" s="100">
        <v>0</v>
      </c>
      <c r="I9" s="100">
        <v>0</v>
      </c>
      <c r="J9" s="100">
        <v>0</v>
      </c>
      <c r="K9" s="100">
        <v>0</v>
      </c>
      <c r="L9" s="100">
        <v>0</v>
      </c>
      <c r="M9" s="100">
        <v>0</v>
      </c>
      <c r="N9" s="100">
        <v>0</v>
      </c>
      <c r="O9" s="100">
        <v>0</v>
      </c>
      <c r="P9" s="100"/>
      <c r="Q9" s="181" t="s">
        <v>476</v>
      </c>
      <c r="R9" s="173" t="s">
        <v>169</v>
      </c>
      <c r="S9" s="170">
        <v>-80.849999999999994</v>
      </c>
      <c r="T9" s="171">
        <v>45881</v>
      </c>
      <c r="U9" s="172" t="s">
        <v>426</v>
      </c>
      <c r="V9" s="173" t="s">
        <v>169</v>
      </c>
      <c r="W9" s="170">
        <v>-80.849999999999994</v>
      </c>
    </row>
    <row r="10" spans="2:64" ht="15" x14ac:dyDescent="0.25">
      <c r="C10" s="100"/>
      <c r="E10" s="127" t="e" cm="1">
        <f t="array" ref="E10">SUM(_xlfn.XLOOKUP($B$8:$B$20,BankDloads!$A$8:$A$20,BankDloads!$B$8:$B$20))</f>
        <v>#N/A</v>
      </c>
      <c r="F10" s="100"/>
      <c r="G10" s="100"/>
      <c r="H10" s="100"/>
      <c r="I10" s="100"/>
      <c r="J10" s="100"/>
      <c r="K10" s="100"/>
      <c r="L10" s="100"/>
      <c r="M10" s="100"/>
      <c r="N10" s="100"/>
      <c r="O10" s="100"/>
      <c r="P10" s="100"/>
      <c r="Q10" s="182" t="s">
        <v>477</v>
      </c>
      <c r="R10" s="173" t="s">
        <v>169</v>
      </c>
      <c r="S10" s="170">
        <v>-53.9</v>
      </c>
      <c r="T10" s="171">
        <v>45905</v>
      </c>
      <c r="U10" s="172" t="s">
        <v>429</v>
      </c>
      <c r="V10" s="173" t="s">
        <v>169</v>
      </c>
      <c r="W10" s="170">
        <v>-53.9</v>
      </c>
    </row>
    <row r="11" spans="2:64" ht="15" x14ac:dyDescent="0.25">
      <c r="B11" s="88" t="s">
        <v>308</v>
      </c>
      <c r="C11" s="100" t="e">
        <f>SUM(C8:C9)</f>
        <v>#N/A</v>
      </c>
      <c r="D11" s="127">
        <f t="shared" ref="D11:BL11" si="2">SUM(D8:D9)</f>
        <v>0</v>
      </c>
      <c r="E11" s="127" t="e" cm="1">
        <f t="array" ref="E11">SUM(_xlfn.XLOOKUP($B$8:$B$20,BankDloads!$A$8:$A$20,BankDloads!$B$8:$B$20))</f>
        <v>#N/A</v>
      </c>
      <c r="F11" s="100">
        <f t="shared" si="2"/>
        <v>0</v>
      </c>
      <c r="G11" s="100">
        <f t="shared" si="2"/>
        <v>0</v>
      </c>
      <c r="H11" s="100">
        <f t="shared" si="2"/>
        <v>0</v>
      </c>
      <c r="I11" s="100">
        <f t="shared" si="2"/>
        <v>0</v>
      </c>
      <c r="J11" s="100">
        <f t="shared" si="2"/>
        <v>0</v>
      </c>
      <c r="K11" s="100">
        <f t="shared" si="2"/>
        <v>0</v>
      </c>
      <c r="L11" s="100">
        <f t="shared" si="2"/>
        <v>0</v>
      </c>
      <c r="M11" s="100">
        <f t="shared" si="2"/>
        <v>0</v>
      </c>
      <c r="N11" s="100">
        <f t="shared" si="2"/>
        <v>0</v>
      </c>
      <c r="O11" s="100" t="e">
        <f t="shared" si="2"/>
        <v>#N/A</v>
      </c>
      <c r="P11" s="100"/>
      <c r="Q11" t="s">
        <v>479</v>
      </c>
      <c r="R11" s="173" t="s">
        <v>415</v>
      </c>
      <c r="S11" s="170">
        <v>349</v>
      </c>
      <c r="T11" s="171">
        <v>45911</v>
      </c>
      <c r="U11" s="172" t="s">
        <v>395</v>
      </c>
      <c r="V11" s="179" t="s">
        <v>475</v>
      </c>
      <c r="W11" s="170">
        <v>349</v>
      </c>
      <c r="BC11">
        <f t="shared" si="2"/>
        <v>0</v>
      </c>
      <c r="BD11">
        <f t="shared" si="2"/>
        <v>0</v>
      </c>
      <c r="BE11">
        <f t="shared" si="2"/>
        <v>0</v>
      </c>
      <c r="BF11">
        <f t="shared" si="2"/>
        <v>0</v>
      </c>
      <c r="BG11">
        <f t="shared" si="2"/>
        <v>0</v>
      </c>
      <c r="BH11">
        <f t="shared" si="2"/>
        <v>0</v>
      </c>
      <c r="BI11">
        <f t="shared" si="2"/>
        <v>0</v>
      </c>
      <c r="BJ11">
        <f t="shared" si="2"/>
        <v>0</v>
      </c>
      <c r="BK11">
        <f t="shared" si="2"/>
        <v>0</v>
      </c>
      <c r="BL11">
        <f t="shared" si="2"/>
        <v>0</v>
      </c>
    </row>
    <row r="12" spans="2:64" ht="15" x14ac:dyDescent="0.25">
      <c r="E12" s="127" t="e" cm="1">
        <f t="array" ref="E12">SUM(_xlfn.XLOOKUP($B$8:$B$20,BankDloads!$A$8:$A$20,BankDloads!$B$8:$B$20))</f>
        <v>#N/A</v>
      </c>
      <c r="R12" s="173" t="s">
        <v>415</v>
      </c>
      <c r="S12" s="170">
        <v>130</v>
      </c>
      <c r="T12" s="171">
        <v>45912</v>
      </c>
      <c r="U12" s="172" t="s">
        <v>435</v>
      </c>
      <c r="V12" s="179" t="s">
        <v>475</v>
      </c>
      <c r="W12" s="170">
        <v>130</v>
      </c>
    </row>
    <row r="13" spans="2:64" ht="15" x14ac:dyDescent="0.25">
      <c r="E13" s="127" t="e" cm="1">
        <f t="array" ref="E13">SUM(_xlfn.XLOOKUP($B$8:$B$20,BankDloads!$A$8:$A$20,BankDloads!$B$8:$B$20))</f>
        <v>#N/A</v>
      </c>
      <c r="Q13" t="s">
        <v>478</v>
      </c>
      <c r="R13" s="173" t="s">
        <v>415</v>
      </c>
      <c r="S13" s="170">
        <v>130</v>
      </c>
      <c r="T13" s="171">
        <v>45913</v>
      </c>
      <c r="U13" s="172" t="s">
        <v>439</v>
      </c>
      <c r="V13" s="179" t="s">
        <v>475</v>
      </c>
      <c r="W13" s="170">
        <v>130</v>
      </c>
    </row>
    <row r="14" spans="2:64" ht="15" x14ac:dyDescent="0.25">
      <c r="B14" s="37" t="s">
        <v>32</v>
      </c>
      <c r="E14" s="127" t="e" cm="1">
        <f t="array" ref="E14">SUM(_xlfn.XLOOKUP($B$8:$B$20,BankDloads!$A$8:$A$20,BankDloads!$B$8:$B$20))</f>
        <v>#N/A</v>
      </c>
      <c r="Q14" t="e">
        <f>DSUM(BDloads[],BDloads[[#Headers],[Amount3]],'"Actual'!$Q$10:$Q$11)</f>
        <v>#VALUE!</v>
      </c>
      <c r="R14" s="173" t="s">
        <v>415</v>
      </c>
      <c r="S14" s="170">
        <v>130</v>
      </c>
      <c r="T14" s="171">
        <v>45914</v>
      </c>
      <c r="U14" s="172" t="s">
        <v>443</v>
      </c>
      <c r="V14" s="179" t="s">
        <v>475</v>
      </c>
      <c r="W14" s="170">
        <v>130</v>
      </c>
    </row>
    <row r="15" spans="2:64" ht="15" x14ac:dyDescent="0.25">
      <c r="B15" s="22" t="s">
        <v>422</v>
      </c>
      <c r="C15" s="151"/>
      <c r="D15" s="127">
        <f>VLOOKUP(B15,BankDloads!$A$6:$B$7,2,FALSE)</f>
        <v>-237.91</v>
      </c>
      <c r="E15" s="127" t="e" cm="1">
        <f t="array" ref="E15">SUM(_xlfn.XLOOKUP($B$8:$B$20,BankDloads!$A$8:$A$20,BankDloads!$B$8:$B$20))</f>
        <v>#N/A</v>
      </c>
      <c r="F15" s="100">
        <v>0</v>
      </c>
      <c r="G15" s="100">
        <v>0</v>
      </c>
      <c r="H15" s="100">
        <v>0</v>
      </c>
      <c r="I15" s="100">
        <v>0</v>
      </c>
      <c r="J15" s="100">
        <v>0</v>
      </c>
      <c r="K15" s="100">
        <v>0</v>
      </c>
      <c r="L15" s="100">
        <v>0</v>
      </c>
      <c r="M15" s="100">
        <v>0</v>
      </c>
      <c r="N15" s="100">
        <v>0</v>
      </c>
      <c r="O15" s="100" t="e">
        <f>SUM(C15:N15)</f>
        <v>#N/A</v>
      </c>
      <c r="P15" s="100"/>
      <c r="R15" s="173" t="s">
        <v>415</v>
      </c>
      <c r="S15" s="170">
        <v>130</v>
      </c>
      <c r="T15" s="171">
        <v>45914</v>
      </c>
      <c r="U15" s="172" t="s">
        <v>446</v>
      </c>
      <c r="V15" s="179" t="s">
        <v>475</v>
      </c>
      <c r="W15" s="170">
        <v>130</v>
      </c>
    </row>
    <row r="16" spans="2:64" ht="15" x14ac:dyDescent="0.25">
      <c r="B16" s="22" t="s">
        <v>168</v>
      </c>
      <c r="C16" s="151"/>
      <c r="E16" s="127" t="e" cm="1">
        <f t="array" ref="E16">SUM(_xlfn.XLOOKUP($B$8:$B$20,BankDloads!$A$8:$A$20,BankDloads!$B$8:$B$20))</f>
        <v>#N/A</v>
      </c>
      <c r="F16">
        <f t="shared" ref="F16:N16" si="3">$G$4*2</f>
        <v>20</v>
      </c>
      <c r="G16">
        <f t="shared" si="3"/>
        <v>20</v>
      </c>
      <c r="H16">
        <f t="shared" si="3"/>
        <v>20</v>
      </c>
      <c r="I16">
        <f t="shared" si="3"/>
        <v>20</v>
      </c>
      <c r="J16">
        <f t="shared" si="3"/>
        <v>20</v>
      </c>
      <c r="K16">
        <f t="shared" si="3"/>
        <v>20</v>
      </c>
      <c r="L16">
        <f t="shared" si="3"/>
        <v>20</v>
      </c>
      <c r="M16">
        <f t="shared" si="3"/>
        <v>20</v>
      </c>
      <c r="N16">
        <f t="shared" si="3"/>
        <v>20</v>
      </c>
      <c r="O16" t="e">
        <f>SUM(C16:N16)</f>
        <v>#N/A</v>
      </c>
      <c r="R16" s="173" t="s">
        <v>415</v>
      </c>
      <c r="S16" s="170">
        <v>130</v>
      </c>
      <c r="T16" s="171">
        <v>45918</v>
      </c>
      <c r="U16" s="172" t="s">
        <v>447</v>
      </c>
      <c r="V16" s="179" t="s">
        <v>475</v>
      </c>
      <c r="W16" s="170">
        <v>130</v>
      </c>
    </row>
    <row r="17" spans="2:23" ht="15" x14ac:dyDescent="0.25">
      <c r="B17" s="22" t="s">
        <v>3</v>
      </c>
      <c r="C17" s="151"/>
      <c r="E17" s="127" t="e" cm="1">
        <f t="array" ref="E17">SUM(_xlfn.XLOOKUP($B$8:$B$20,BankDloads!$A$8:$A$20,BankDloads!$B$8:$B$20))</f>
        <v>#N/A</v>
      </c>
      <c r="R17" s="173" t="s">
        <v>415</v>
      </c>
      <c r="S17" s="170">
        <v>130</v>
      </c>
      <c r="T17" s="171">
        <v>45918</v>
      </c>
      <c r="U17" s="172" t="s">
        <v>451</v>
      </c>
      <c r="V17" s="179" t="s">
        <v>475</v>
      </c>
      <c r="W17" s="170">
        <v>130</v>
      </c>
    </row>
    <row r="18" spans="2:23" ht="15" x14ac:dyDescent="0.25">
      <c r="B18" s="22" t="s">
        <v>169</v>
      </c>
      <c r="C18" s="151"/>
      <c r="D18" s="127">
        <f>VLOOKUP(B18,BankDloads!$A$6:$B$7,2,FALSE)</f>
        <v>-80.849999999999994</v>
      </c>
      <c r="E18" s="127" t="e" cm="1">
        <f t="array" ref="E18">SUM(_xlfn.XLOOKUP($B$8:$B$20,BankDloads!$A$8:$A$20,BankDloads!$B$8:$B$20))</f>
        <v>#N/A</v>
      </c>
      <c r="F18">
        <f t="shared" ref="F18:N18" si="4">$G$3</f>
        <v>26.95</v>
      </c>
      <c r="G18">
        <f t="shared" si="4"/>
        <v>26.95</v>
      </c>
      <c r="H18">
        <f t="shared" si="4"/>
        <v>26.95</v>
      </c>
      <c r="I18">
        <f t="shared" si="4"/>
        <v>26.95</v>
      </c>
      <c r="J18">
        <f t="shared" si="4"/>
        <v>26.95</v>
      </c>
      <c r="K18">
        <f t="shared" si="4"/>
        <v>26.95</v>
      </c>
      <c r="L18">
        <f t="shared" si="4"/>
        <v>26.95</v>
      </c>
      <c r="M18">
        <f t="shared" si="4"/>
        <v>26.95</v>
      </c>
      <c r="N18">
        <f t="shared" si="4"/>
        <v>26.95</v>
      </c>
      <c r="O18" t="e">
        <f>SUM(C18:N18)</f>
        <v>#N/A</v>
      </c>
      <c r="R18" s="173" t="s">
        <v>415</v>
      </c>
      <c r="S18" s="170">
        <v>130</v>
      </c>
      <c r="T18" s="171">
        <v>45919</v>
      </c>
      <c r="U18" s="172" t="s">
        <v>454</v>
      </c>
      <c r="V18" s="179" t="s">
        <v>475</v>
      </c>
      <c r="W18" s="170">
        <v>130</v>
      </c>
    </row>
    <row r="19" spans="2:23" ht="15" x14ac:dyDescent="0.25">
      <c r="B19" s="22" t="s">
        <v>172</v>
      </c>
      <c r="C19" s="151"/>
      <c r="E19" s="127" t="e" cm="1">
        <f t="array" ref="E19">SUM(_xlfn.XLOOKUP($B$8:$B$20,BankDloads!$A$8:$A$20,BankDloads!$B$8:$B$20))</f>
        <v>#N/A</v>
      </c>
      <c r="R19" s="173" t="s">
        <v>415</v>
      </c>
      <c r="S19" s="170">
        <v>130</v>
      </c>
      <c r="T19" s="171">
        <v>45922</v>
      </c>
      <c r="U19" s="172" t="s">
        <v>459</v>
      </c>
      <c r="V19" s="179" t="s">
        <v>475</v>
      </c>
      <c r="W19" s="170">
        <v>130</v>
      </c>
    </row>
    <row r="20" spans="2:23" ht="15" x14ac:dyDescent="0.25">
      <c r="B20" s="173" t="s">
        <v>4</v>
      </c>
      <c r="C20" s="151">
        <f>VLOOKUP(B20,BankDloads!$A$4:$B$5,2,FALSE)</f>
        <v>-20</v>
      </c>
      <c r="E20" s="127" t="e" cm="1">
        <f t="array" ref="E20">SUM(_xlfn.XLOOKUP($B$8:$B$20,BankDloads!$A$8:$A$20,BankDloads!$B$8:$B$20))</f>
        <v>#N/A</v>
      </c>
      <c r="R20" s="173" t="s">
        <v>415</v>
      </c>
      <c r="S20" s="170">
        <v>260</v>
      </c>
      <c r="T20" s="171">
        <v>45923</v>
      </c>
      <c r="U20" s="172" t="s">
        <v>461</v>
      </c>
      <c r="V20" s="179" t="s">
        <v>475</v>
      </c>
      <c r="W20" s="170">
        <v>260</v>
      </c>
    </row>
    <row r="21" spans="2:23" ht="15" x14ac:dyDescent="0.25">
      <c r="B21" s="37" t="s">
        <v>36</v>
      </c>
      <c r="C21" s="104">
        <f>SUM(C15:C20)</f>
        <v>-20</v>
      </c>
      <c r="D21" s="153">
        <f t="shared" ref="D21:O21" si="5">SUM(D15:D20)</f>
        <v>-318.76</v>
      </c>
      <c r="E21" s="153" t="e">
        <f t="shared" si="5"/>
        <v>#N/A</v>
      </c>
      <c r="F21" s="104">
        <f t="shared" si="5"/>
        <v>46.95</v>
      </c>
      <c r="G21" s="104">
        <f t="shared" si="5"/>
        <v>46.95</v>
      </c>
      <c r="H21" s="104">
        <f t="shared" si="5"/>
        <v>46.95</v>
      </c>
      <c r="I21" s="104">
        <f t="shared" si="5"/>
        <v>46.95</v>
      </c>
      <c r="J21" s="104">
        <f t="shared" si="5"/>
        <v>46.95</v>
      </c>
      <c r="K21" s="104">
        <f t="shared" si="5"/>
        <v>46.95</v>
      </c>
      <c r="L21" s="104">
        <f t="shared" si="5"/>
        <v>46.95</v>
      </c>
      <c r="M21" s="104">
        <f t="shared" si="5"/>
        <v>46.95</v>
      </c>
      <c r="N21" s="104">
        <f t="shared" si="5"/>
        <v>46.95</v>
      </c>
      <c r="O21" s="104" t="e">
        <f t="shared" si="5"/>
        <v>#N/A</v>
      </c>
      <c r="R21" s="173" t="s">
        <v>415</v>
      </c>
      <c r="S21" s="170">
        <v>130</v>
      </c>
      <c r="T21" s="171">
        <v>45923</v>
      </c>
      <c r="U21" s="172" t="s">
        <v>234</v>
      </c>
      <c r="V21" s="179" t="s">
        <v>475</v>
      </c>
      <c r="W21" s="170">
        <v>130</v>
      </c>
    </row>
    <row r="22" spans="2:23" ht="15" x14ac:dyDescent="0.25">
      <c r="R22" s="173" t="s">
        <v>415</v>
      </c>
      <c r="S22" s="170">
        <v>130</v>
      </c>
      <c r="T22" s="171">
        <v>45924</v>
      </c>
      <c r="U22" s="172" t="s">
        <v>469</v>
      </c>
      <c r="V22" s="179" t="s">
        <v>475</v>
      </c>
      <c r="W22" s="170">
        <v>130</v>
      </c>
    </row>
    <row r="23" spans="2:23" x14ac:dyDescent="0.2">
      <c r="B23" s="48" t="s">
        <v>309</v>
      </c>
      <c r="C23" s="108" t="e">
        <f>C6+C11+C21</f>
        <v>#N/A</v>
      </c>
      <c r="D23" s="127" t="e">
        <f>D6+D11+D21</f>
        <v>#N/A</v>
      </c>
      <c r="E23" s="127" t="e">
        <f t="shared" ref="E23:O23" si="6">E6+E11-E21</f>
        <v>#N/A</v>
      </c>
      <c r="F23" s="108" t="e">
        <f t="shared" si="6"/>
        <v>#N/A</v>
      </c>
      <c r="G23" s="108" t="e">
        <f t="shared" si="6"/>
        <v>#N/A</v>
      </c>
      <c r="H23" s="108" t="e">
        <f t="shared" si="6"/>
        <v>#N/A</v>
      </c>
      <c r="I23" s="108" t="e">
        <f t="shared" si="6"/>
        <v>#N/A</v>
      </c>
      <c r="J23" s="108" t="e">
        <f t="shared" si="6"/>
        <v>#N/A</v>
      </c>
      <c r="K23" s="108" t="e">
        <f t="shared" si="6"/>
        <v>#N/A</v>
      </c>
      <c r="L23" s="108" t="e">
        <f t="shared" si="6"/>
        <v>#N/A</v>
      </c>
      <c r="M23" s="108" t="e">
        <f t="shared" si="6"/>
        <v>#N/A</v>
      </c>
      <c r="N23" s="108" t="e">
        <f t="shared" si="6"/>
        <v>#N/A</v>
      </c>
      <c r="O23" s="108" t="e">
        <f t="shared" si="6"/>
        <v>#N/A</v>
      </c>
      <c r="P23" s="108"/>
    </row>
  </sheetData>
  <mergeCells count="3">
    <mergeCell ref="H1:I1"/>
    <mergeCell ref="H2:I2"/>
    <mergeCell ref="H4:K4"/>
  </mergeCells>
  <pageMargins left="0.7" right="0.7" top="0.75" bottom="0.75" header="0.3" footer="0.3"/>
  <legacyDrawing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6D9DA-762D-45DA-81EA-EB31E952BEF5}">
  <dimension ref="A3:F20"/>
  <sheetViews>
    <sheetView topLeftCell="A4" zoomScale="85" zoomScaleNormal="85" workbookViewId="0">
      <selection activeCell="A4" sqref="A4:F20"/>
    </sheetView>
  </sheetViews>
  <sheetFormatPr defaultRowHeight="12.75" x14ac:dyDescent="0.2"/>
  <cols>
    <col min="1" max="1" width="13.85546875" bestFit="1" customWidth="1"/>
    <col min="2" max="2" width="12.28515625" customWidth="1"/>
    <col min="3" max="3" width="22.28515625" customWidth="1"/>
    <col min="4" max="4" width="10" customWidth="1"/>
    <col min="5" max="5" width="13.85546875" bestFit="1" customWidth="1"/>
    <col min="6" max="6" width="13.7109375" customWidth="1"/>
  </cols>
  <sheetData>
    <row r="3" spans="1:6" ht="18.75" x14ac:dyDescent="0.3">
      <c r="A3" s="175" t="s">
        <v>405</v>
      </c>
      <c r="B3" s="176" t="s">
        <v>406</v>
      </c>
      <c r="C3" s="177" t="s">
        <v>403</v>
      </c>
      <c r="D3" s="178" t="s">
        <v>404</v>
      </c>
      <c r="E3" s="175" t="s">
        <v>473</v>
      </c>
      <c r="F3" s="176" t="s">
        <v>474</v>
      </c>
    </row>
    <row r="4" spans="1:6" ht="15" x14ac:dyDescent="0.25">
      <c r="A4" s="173" t="s">
        <v>415</v>
      </c>
      <c r="B4" s="170">
        <v>68</v>
      </c>
      <c r="C4" s="171">
        <v>45844</v>
      </c>
      <c r="D4" s="172" t="s">
        <v>414</v>
      </c>
      <c r="E4" s="173" t="s">
        <v>415</v>
      </c>
      <c r="F4" s="170">
        <v>68</v>
      </c>
    </row>
    <row r="5" spans="1:6" ht="15" x14ac:dyDescent="0.25">
      <c r="A5" s="173" t="s">
        <v>4</v>
      </c>
      <c r="B5" s="170">
        <v>-20</v>
      </c>
      <c r="C5" s="171">
        <v>45869</v>
      </c>
      <c r="D5" s="172" t="s">
        <v>417</v>
      </c>
      <c r="E5" s="173" t="s">
        <v>418</v>
      </c>
      <c r="F5" s="170">
        <v>-20</v>
      </c>
    </row>
    <row r="6" spans="1:6" ht="15" x14ac:dyDescent="0.25">
      <c r="A6" s="173" t="s">
        <v>422</v>
      </c>
      <c r="B6" s="170">
        <v>-237.91</v>
      </c>
      <c r="C6" s="171">
        <v>45873</v>
      </c>
      <c r="D6" s="172" t="s">
        <v>421</v>
      </c>
      <c r="E6" s="173" t="s">
        <v>422</v>
      </c>
      <c r="F6" s="170">
        <v>-237.91</v>
      </c>
    </row>
    <row r="7" spans="1:6" ht="15" x14ac:dyDescent="0.25">
      <c r="A7" s="173" t="s">
        <v>169</v>
      </c>
      <c r="B7" s="170">
        <v>-80.849999999999994</v>
      </c>
      <c r="C7" s="171">
        <v>45881</v>
      </c>
      <c r="D7" s="172" t="s">
        <v>426</v>
      </c>
      <c r="E7" s="173" t="s">
        <v>169</v>
      </c>
      <c r="F7" s="170">
        <v>-80.849999999999994</v>
      </c>
    </row>
    <row r="8" spans="1:6" ht="15" x14ac:dyDescent="0.25">
      <c r="A8" s="173" t="s">
        <v>169</v>
      </c>
      <c r="B8" s="170">
        <v>-53.9</v>
      </c>
      <c r="C8" s="171">
        <v>45905</v>
      </c>
      <c r="D8" s="172" t="s">
        <v>429</v>
      </c>
      <c r="E8" s="173" t="s">
        <v>169</v>
      </c>
      <c r="F8" s="170">
        <v>-53.9</v>
      </c>
    </row>
    <row r="9" spans="1:6" ht="15" x14ac:dyDescent="0.25">
      <c r="A9" s="173" t="s">
        <v>415</v>
      </c>
      <c r="B9" s="170">
        <v>349</v>
      </c>
      <c r="C9" s="171">
        <v>45911</v>
      </c>
      <c r="D9" s="172" t="s">
        <v>395</v>
      </c>
      <c r="E9" s="173" t="s">
        <v>415</v>
      </c>
      <c r="F9" s="170">
        <v>349</v>
      </c>
    </row>
    <row r="10" spans="1:6" ht="15" x14ac:dyDescent="0.25">
      <c r="A10" s="173" t="s">
        <v>415</v>
      </c>
      <c r="B10" s="170">
        <v>130</v>
      </c>
      <c r="C10" s="171">
        <v>45912</v>
      </c>
      <c r="D10" s="172" t="s">
        <v>435</v>
      </c>
      <c r="E10" s="173" t="s">
        <v>415</v>
      </c>
      <c r="F10" s="170">
        <v>130</v>
      </c>
    </row>
    <row r="11" spans="1:6" ht="15" x14ac:dyDescent="0.25">
      <c r="A11" s="173" t="s">
        <v>415</v>
      </c>
      <c r="B11" s="170">
        <v>130</v>
      </c>
      <c r="C11" s="171">
        <v>45913</v>
      </c>
      <c r="D11" s="172" t="s">
        <v>439</v>
      </c>
      <c r="E11" s="173" t="s">
        <v>415</v>
      </c>
      <c r="F11" s="170">
        <v>130</v>
      </c>
    </row>
    <row r="12" spans="1:6" ht="15" x14ac:dyDescent="0.25">
      <c r="A12" s="173" t="s">
        <v>415</v>
      </c>
      <c r="B12" s="170">
        <v>130</v>
      </c>
      <c r="C12" s="171">
        <v>45914</v>
      </c>
      <c r="D12" s="172" t="s">
        <v>443</v>
      </c>
      <c r="E12" s="173" t="s">
        <v>415</v>
      </c>
      <c r="F12" s="170">
        <v>130</v>
      </c>
    </row>
    <row r="13" spans="1:6" ht="15" x14ac:dyDescent="0.25">
      <c r="A13" s="173" t="s">
        <v>415</v>
      </c>
      <c r="B13" s="170">
        <v>130</v>
      </c>
      <c r="C13" s="171">
        <v>45914</v>
      </c>
      <c r="D13" s="172" t="s">
        <v>446</v>
      </c>
      <c r="E13" s="173" t="s">
        <v>415</v>
      </c>
      <c r="F13" s="170">
        <v>130</v>
      </c>
    </row>
    <row r="14" spans="1:6" ht="15" x14ac:dyDescent="0.25">
      <c r="A14" s="173" t="s">
        <v>415</v>
      </c>
      <c r="B14" s="170">
        <v>130</v>
      </c>
      <c r="C14" s="171">
        <v>45918</v>
      </c>
      <c r="D14" s="172" t="s">
        <v>447</v>
      </c>
      <c r="E14" s="173" t="s">
        <v>415</v>
      </c>
      <c r="F14" s="170">
        <v>130</v>
      </c>
    </row>
    <row r="15" spans="1:6" ht="15" x14ac:dyDescent="0.25">
      <c r="A15" s="173" t="s">
        <v>415</v>
      </c>
      <c r="B15" s="170">
        <v>130</v>
      </c>
      <c r="C15" s="171">
        <v>45918</v>
      </c>
      <c r="D15" s="172" t="s">
        <v>451</v>
      </c>
      <c r="E15" s="173" t="s">
        <v>415</v>
      </c>
      <c r="F15" s="170">
        <v>130</v>
      </c>
    </row>
    <row r="16" spans="1:6" ht="15" x14ac:dyDescent="0.25">
      <c r="A16" s="173" t="s">
        <v>415</v>
      </c>
      <c r="B16" s="170">
        <v>130</v>
      </c>
      <c r="C16" s="171">
        <v>45919</v>
      </c>
      <c r="D16" s="172" t="s">
        <v>454</v>
      </c>
      <c r="E16" s="173" t="s">
        <v>415</v>
      </c>
      <c r="F16" s="170">
        <v>130</v>
      </c>
    </row>
    <row r="17" spans="1:6" ht="15" x14ac:dyDescent="0.25">
      <c r="A17" s="173" t="s">
        <v>415</v>
      </c>
      <c r="B17" s="170">
        <v>130</v>
      </c>
      <c r="C17" s="171">
        <v>45922</v>
      </c>
      <c r="D17" s="172" t="s">
        <v>459</v>
      </c>
      <c r="E17" s="173" t="s">
        <v>415</v>
      </c>
      <c r="F17" s="170">
        <v>130</v>
      </c>
    </row>
    <row r="18" spans="1:6" ht="15" x14ac:dyDescent="0.25">
      <c r="A18" s="173" t="s">
        <v>415</v>
      </c>
      <c r="B18" s="170">
        <v>260</v>
      </c>
      <c r="C18" s="171">
        <v>45923</v>
      </c>
      <c r="D18" s="172" t="s">
        <v>461</v>
      </c>
      <c r="E18" s="173" t="s">
        <v>415</v>
      </c>
      <c r="F18" s="170">
        <v>260</v>
      </c>
    </row>
    <row r="19" spans="1:6" ht="15" x14ac:dyDescent="0.25">
      <c r="A19" s="173" t="s">
        <v>415</v>
      </c>
      <c r="B19" s="170">
        <v>130</v>
      </c>
      <c r="C19" s="171">
        <v>45923</v>
      </c>
      <c r="D19" s="172" t="s">
        <v>234</v>
      </c>
      <c r="E19" s="173" t="s">
        <v>415</v>
      </c>
      <c r="F19" s="170">
        <v>130</v>
      </c>
    </row>
    <row r="20" spans="1:6" ht="15" x14ac:dyDescent="0.25">
      <c r="A20" s="173" t="s">
        <v>415</v>
      </c>
      <c r="B20" s="170">
        <v>130</v>
      </c>
      <c r="C20" s="171">
        <v>45924</v>
      </c>
      <c r="D20" s="172" t="s">
        <v>469</v>
      </c>
      <c r="E20" s="173" t="s">
        <v>415</v>
      </c>
      <c r="F20" s="170">
        <v>130</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11</vt:i4>
      </vt:variant>
    </vt:vector>
  </HeadingPairs>
  <TitlesOfParts>
    <vt:vector size="26" baseType="lpstr">
      <vt:lpstr>Instructions</vt:lpstr>
      <vt:lpstr>Assumptions</vt:lpstr>
      <vt:lpstr>Membership</vt:lpstr>
      <vt:lpstr>ExchRates</vt:lpstr>
      <vt:lpstr>SchOfMtgs</vt:lpstr>
      <vt:lpstr>Forecast</vt:lpstr>
      <vt:lpstr>Margin Calcs</vt:lpstr>
      <vt:lpstr>"Actual</vt:lpstr>
      <vt:lpstr>BankDloads</vt:lpstr>
      <vt:lpstr>DbStmts20251107115655 (2)</vt:lpstr>
      <vt:lpstr>"Forecast</vt:lpstr>
      <vt:lpstr>Actual</vt:lpstr>
      <vt:lpstr>Fixed Assets</vt:lpstr>
      <vt:lpstr>BalanceSheets</vt:lpstr>
      <vt:lpstr>Months</vt:lpstr>
      <vt:lpstr>BankDloads</vt:lpstr>
      <vt:lpstr>LoanMonths</vt:lpstr>
      <vt:lpstr>MonthList</vt:lpstr>
      <vt:lpstr>Months</vt:lpstr>
      <vt:lpstr>Actual!Print_Area</vt:lpstr>
      <vt:lpstr>BalanceSheets!Print_Area</vt:lpstr>
      <vt:lpstr>Forecast!Print_Area</vt:lpstr>
      <vt:lpstr>Actual!Print_Titles</vt:lpstr>
      <vt:lpstr>BalanceSheets!Print_Titles</vt:lpstr>
      <vt:lpstr>Forecast!Print_Titles</vt:lpstr>
      <vt:lpstr>Instructions!Print_Titles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www.excel-skills.com.au</dc:title>
  <dc:subject>Unique Excel Based Cash Flow Template</dc:subject>
  <dc:creator>Excel Skills Australia</dc:creator>
  <cp:keywords>cash flow, excel cash flow, cash flow template, cash flow forecast</cp:keywords>
  <cp:lastModifiedBy>Christopher Bird</cp:lastModifiedBy>
  <cp:lastPrinted>2014-03-20T11:23:08Z</cp:lastPrinted>
  <dcterms:created xsi:type="dcterms:W3CDTF">2009-07-26T08:36:26Z</dcterms:created>
  <dcterms:modified xsi:type="dcterms:W3CDTF">2025-11-16T20:45:44Z</dcterms:modified>
  <cp:category>Version 3.0</cp:category>
</cp:coreProperties>
</file>