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#NEW\"/>
    </mc:Choice>
  </mc:AlternateContent>
  <xr:revisionPtr revIDLastSave="0" documentId="13_ncr:1_{78123115-F815-4908-A5F0-0FF43BF773A7}" xr6:coauthVersionLast="47" xr6:coauthVersionMax="47" xr10:uidLastSave="{00000000-0000-0000-0000-000000000000}"/>
  <bookViews>
    <workbookView xWindow="-108" yWindow="-108" windowWidth="23256" windowHeight="12576" tabRatio="754" activeTab="2" xr2:uid="{10B18A89-A07D-444F-B229-48644F72FD60}"/>
  </bookViews>
  <sheets>
    <sheet name="SUM DYNAMIC LEDGER" sheetId="1" r:id="rId1"/>
    <sheet name="LET 1 CELL QUESTION" sheetId="2" r:id="rId2"/>
    <sheet name="SUM DYN LEDGER 2COL" sheetId="3" r:id="rId3"/>
    <sheet name="PIVOT TBL 2COL" sheetId="4" r:id="rId4"/>
  </sheets>
  <externalReferences>
    <externalReference r:id="rId5"/>
  </externalReferences>
  <definedNames>
    <definedName name="_xlnm._FilterDatabase" localSheetId="1" hidden="1">'LET 1 CELL QUESTION'!$A$1:$J$10</definedName>
    <definedName name="_xlnm._FilterDatabase" localSheetId="2" hidden="1">'SUM DYN LEDGER 2COL'!$A$1:$K$10</definedName>
    <definedName name="_xlnm._FilterDatabase" localSheetId="0" hidden="1">'SUM DYNAMIC LEDGER'!$A$1:$J$10</definedName>
    <definedName name="BUSINESS" localSheetId="1">'LET 1 CELL QUESTION'!$A$2:$A$20</definedName>
    <definedName name="BUSINESS" localSheetId="2">'SUM DYN LEDGER 2COL'!$A$2:$A$20</definedName>
    <definedName name="BUSINESS">'SUM DYNAMIC LEDGER'!$A$2:$A$20</definedName>
    <definedName name="COMBOY" localSheetId="1">'LET 1 CELL QUESTION'!$L$30</definedName>
    <definedName name="COMBOY" localSheetId="2">'SUM DYN LEDGER 2COL'!$B$30</definedName>
    <definedName name="COMBOY">'SUM DYNAMIC LEDGER'!$M$28</definedName>
    <definedName name="ComboZ" localSheetId="1">'LET 1 CELL QUESTION'!$M$30</definedName>
    <definedName name="ComboZ" localSheetId="2">'SUM DYN LEDGER 2COL'!$E$30</definedName>
    <definedName name="ComboZ">'SUM DYNAMIC LEDGER'!$N$28</definedName>
    <definedName name="DATES_E">'[1]SUM DYNAMIC LEDGER (2)'!$M$15:$P$15</definedName>
    <definedName name="DATES_S">'[1]SUM DYNAMIC LEDGER (2)'!$M$14:$P$14</definedName>
    <definedName name="MAKES" localSheetId="1">'LET 1 CELL QUESTION'!$B$2:$B$20</definedName>
    <definedName name="MAKES" localSheetId="2">'SUM DYN LEDGER 2COL'!$C$2:$C$20</definedName>
    <definedName name="MAKES">'SUM DYNAMIC LEDGER'!$B$2:$B$20</definedName>
    <definedName name="MODELS" localSheetId="1">'LET 1 CELL QUESTION'!$C:$C</definedName>
    <definedName name="MODELS" localSheetId="2">'SUM DYN LEDGER 2COL'!$D:$D</definedName>
    <definedName name="MODELS">'SUM DYNAMIC LEDGER'!$C:$C</definedName>
    <definedName name="MTH_END" localSheetId="2">'SUM DYN LEDGER 2COL'!$B$25:$M$25</definedName>
    <definedName name="MTH_END">'SUM DYNAMIC LEDGER'!$N$20:$Y$20</definedName>
    <definedName name="MTH_START" localSheetId="2">'SUM DYN LEDGER 2COL'!$B$24:$M$24</definedName>
    <definedName name="MTH_START">'SUM DYNAMIC LEDGER'!$N$19:$Y$19</definedName>
    <definedName name="OTHER">_xlfn.ANCHORARRAY('SUM DYN LEDGER 2COL'!#REF!)</definedName>
    <definedName name="OTHER1">"$AF$2#"</definedName>
    <definedName name="PRICES" localSheetId="1">'LET 1 CELL QUESTION'!$J$2:$J$20</definedName>
    <definedName name="PRICES" localSheetId="2">'SUM DYN LEDGER 2COL'!$K$2:$K$20</definedName>
    <definedName name="PRICES">'SUM DYNAMIC LEDGER'!$J$2:$J$20</definedName>
    <definedName name="QTR_E" localSheetId="1">'LET 1 CELL QUESTION'!$M$15:$P$15</definedName>
    <definedName name="QTR_E" localSheetId="2">'SUM DYN LEDGER 2COL'!$O$13:$R$13</definedName>
    <definedName name="QTR_E">'SUM DYNAMIC LEDGER'!$N$10:$Q$10</definedName>
    <definedName name="QTR_S" localSheetId="1">'LET 1 CELL QUESTION'!$M$14:$P$14</definedName>
    <definedName name="QTR_S" localSheetId="2">'SUM DYN LEDGER 2COL'!$O$12:$R$12</definedName>
    <definedName name="QTR_S">'SUM DYNAMIC LEDGER'!$N$9:$Q$9</definedName>
    <definedName name="SOLD" localSheetId="1">'LET 1 CELL QUESTION'!$I$2:$I$20</definedName>
    <definedName name="SOLD" localSheetId="2">'SUM DYN LEDGER 2COL'!$J$2:$J$20</definedName>
    <definedName name="SOLD">'SUM DYNAMIC LEDGER'!$I$2:$I$20</definedName>
    <definedName name="SuperCars" localSheetId="1">'LET 1 CELL QUESTION'!$A$2:$J$51</definedName>
    <definedName name="SuperCars" localSheetId="2">'SUM DYN LEDGER 2COL'!$A$2:$K$49</definedName>
    <definedName name="SuperCars">'SUM DYNAMIC LEDGER'!$A$2:$J$51</definedName>
    <definedName name="TBLCARS" localSheetId="1">'LET 1 CELL QUESTION'!$A$2:$J$20</definedName>
    <definedName name="TBLCARS" localSheetId="2">'SUM DYN LEDGER 2COL'!$A$2:$K$20</definedName>
    <definedName name="TBLCARS">'SUM DYNAMIC LEDGER'!$A$2:$J$20</definedName>
    <definedName name="vertex42_copyright" hidden="1">"© 2017 Vertex42 LLC"</definedName>
    <definedName name="vertex42_id" hidden="1">"SumIf-CountIf.xlsx"</definedName>
    <definedName name="VILLAGE">'SUM DYN LEDGER 2COL'!$B$2:$B$20</definedName>
    <definedName name="VL_1">_xlfn.ANCHORARRAY('SUM DYN LEDGER 2COL'!#REF!)</definedName>
    <definedName name="YR_CARS" localSheetId="1">'LET 1 CELL QUESTION'!$X$2:$X$8</definedName>
    <definedName name="YR_CARS" localSheetId="2">'SUM DYN LEDGER 2COL'!$AB$2:$AB$8</definedName>
    <definedName name="YR_CARS">'SUM DYNAMIC LEDGER'!$AM$2:$AM$8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2" l="1" a="1"/>
  <c r="C13" i="2" s="1"/>
  <c r="F15" i="3"/>
  <c r="I14" i="3"/>
  <c r="F16" i="3"/>
  <c r="F13" i="3"/>
  <c r="F14" i="3"/>
  <c r="AF2" i="3" l="1" a="1"/>
  <c r="AF2" i="3" s="1"/>
  <c r="AK32" i="3" a="1"/>
  <c r="AK32" i="3" s="1"/>
  <c r="V20" i="3" a="1"/>
  <c r="V20" i="3" s="1"/>
  <c r="P1" i="3" a="1"/>
  <c r="N2" i="3" l="1" a="1"/>
  <c r="N2" i="3" s="1"/>
  <c r="O2" i="3" a="1"/>
  <c r="O2" i="3" s="1"/>
  <c r="P1" i="3"/>
  <c r="AK17" i="3" a="1"/>
  <c r="AM16" i="3" a="1"/>
  <c r="AM16" i="3" s="1"/>
  <c r="M31" i="1" a="1"/>
  <c r="M31" i="1" s="1"/>
  <c r="N15" i="3" a="1"/>
  <c r="P2" i="3" l="1" a="1"/>
  <c r="P2" i="3" s="1"/>
  <c r="N15" i="3"/>
  <c r="AM18" i="3"/>
  <c r="AO21" i="3"/>
  <c r="AO18" i="3"/>
  <c r="AM19" i="3"/>
  <c r="AK17" i="3"/>
  <c r="AO19" i="3"/>
  <c r="AM20" i="3"/>
  <c r="AN20" i="3"/>
  <c r="AN19" i="3"/>
  <c r="AM21" i="3"/>
  <c r="AN21" i="3"/>
  <c r="AO20" i="3"/>
  <c r="AN18" i="3"/>
  <c r="S5" i="3" l="1"/>
  <c r="S6" i="3"/>
  <c r="S3" i="3"/>
  <c r="S4" i="3"/>
  <c r="AO17" i="3"/>
  <c r="AM17" i="3"/>
  <c r="AN17" i="3"/>
  <c r="A31" i="3" l="1" a="1"/>
  <c r="A31" i="3" s="1"/>
  <c r="A26" i="3" a="1"/>
  <c r="M25" i="3"/>
  <c r="L25" i="3"/>
  <c r="K25" i="3"/>
  <c r="J25" i="3"/>
  <c r="I25" i="3"/>
  <c r="H25" i="3"/>
  <c r="G25" i="3"/>
  <c r="F25" i="3"/>
  <c r="E25" i="3"/>
  <c r="D25" i="3"/>
  <c r="C25" i="3"/>
  <c r="B25" i="3"/>
  <c r="M24" i="3"/>
  <c r="M23" i="3" s="1"/>
  <c r="L24" i="3"/>
  <c r="L23" i="3" s="1"/>
  <c r="K24" i="3"/>
  <c r="K23" i="3" s="1"/>
  <c r="J24" i="3"/>
  <c r="J23" i="3" s="1"/>
  <c r="I24" i="3"/>
  <c r="I23" i="3" s="1"/>
  <c r="H24" i="3"/>
  <c r="H23" i="3" s="1"/>
  <c r="G24" i="3"/>
  <c r="G23" i="3" s="1"/>
  <c r="F24" i="3"/>
  <c r="F23" i="3" s="1"/>
  <c r="E24" i="3"/>
  <c r="E23" i="3" s="1"/>
  <c r="D24" i="3"/>
  <c r="D23" i="3" s="1"/>
  <c r="C24" i="3"/>
  <c r="C23" i="3" s="1"/>
  <c r="B24" i="3"/>
  <c r="B23" i="3" s="1"/>
  <c r="R13" i="3"/>
  <c r="Q13" i="3"/>
  <c r="P13" i="3"/>
  <c r="O13" i="3"/>
  <c r="J10" i="3"/>
  <c r="AK9" i="3" a="1"/>
  <c r="AK9" i="3" s="1"/>
  <c r="R12" i="3"/>
  <c r="Q12" i="3"/>
  <c r="P12" i="3"/>
  <c r="O12" i="3"/>
  <c r="J9" i="3"/>
  <c r="J8" i="3"/>
  <c r="J7" i="3"/>
  <c r="AL8" i="3" a="1"/>
  <c r="AL8" i="3" s="1"/>
  <c r="J6" i="3"/>
  <c r="J5" i="3"/>
  <c r="J4" i="3"/>
  <c r="AB3" i="3"/>
  <c r="AB4" i="3" s="1"/>
  <c r="AB5" i="3" s="1"/>
  <c r="AB6" i="3" s="1"/>
  <c r="AB7" i="3" s="1"/>
  <c r="AB8" i="3" s="1"/>
  <c r="J3" i="3"/>
  <c r="A32" i="3" s="1" a="1"/>
  <c r="A32" i="3" s="1"/>
  <c r="AD2" i="3" a="1"/>
  <c r="AD2" i="3" s="1"/>
  <c r="V2" i="3" a="1"/>
  <c r="W4" i="3" s="1"/>
  <c r="J2" i="3"/>
  <c r="L33" i="2" a="1"/>
  <c r="L33" i="2" s="1"/>
  <c r="L32" i="2" a="1"/>
  <c r="L32" i="2" s="1"/>
  <c r="L17" i="2" a="1"/>
  <c r="P15" i="2"/>
  <c r="O15" i="2"/>
  <c r="N15" i="2"/>
  <c r="M15" i="2"/>
  <c r="P14" i="2"/>
  <c r="O14" i="2"/>
  <c r="N14" i="2"/>
  <c r="M14" i="2"/>
  <c r="I10" i="2"/>
  <c r="I9" i="2"/>
  <c r="I8" i="2"/>
  <c r="I7" i="2"/>
  <c r="I6" i="2"/>
  <c r="I5" i="2"/>
  <c r="I4" i="2"/>
  <c r="X3" i="2"/>
  <c r="X4" i="2" s="1"/>
  <c r="X5" i="2" s="1"/>
  <c r="X6" i="2" s="1"/>
  <c r="X7" i="2" s="1"/>
  <c r="X8" i="2" s="1"/>
  <c r="I3" i="2"/>
  <c r="Z2" i="2" a="1"/>
  <c r="Z2" i="2" s="1"/>
  <c r="S2" i="2" a="1"/>
  <c r="S2" i="2" s="1"/>
  <c r="T2" i="2" s="1"/>
  <c r="L2" i="2" a="1"/>
  <c r="I2" i="2"/>
  <c r="M1" i="2" a="1"/>
  <c r="M1" i="2" s="1"/>
  <c r="V6" i="3"/>
  <c r="M9" i="2"/>
  <c r="G19" i="3"/>
  <c r="C19" i="2"/>
  <c r="Y6" i="3"/>
  <c r="J18" i="3"/>
  <c r="F18" i="3"/>
  <c r="M10" i="2"/>
  <c r="S8" i="2"/>
  <c r="G20" i="3"/>
  <c r="S10" i="2"/>
  <c r="M23" i="2"/>
  <c r="M24" i="2"/>
  <c r="S9" i="2"/>
  <c r="Q23" i="2"/>
  <c r="M25" i="2"/>
  <c r="V5" i="3"/>
  <c r="M8" i="2"/>
  <c r="C18" i="2"/>
  <c r="O15" i="3" l="1" a="1"/>
  <c r="O15" i="3" s="1"/>
  <c r="D12" i="2" a="1"/>
  <c r="D12" i="2" s="1"/>
  <c r="V2" i="3"/>
  <c r="W2" i="3" s="1"/>
  <c r="A26" i="3"/>
  <c r="B26" i="3" s="1" a="1"/>
  <c r="W3" i="3"/>
  <c r="L2" i="2"/>
  <c r="M2" i="2" s="1" a="1"/>
  <c r="T3" i="2"/>
  <c r="T4" i="2"/>
  <c r="L17" i="2"/>
  <c r="M17" i="2" s="1" a="1"/>
  <c r="S18" i="3" l="1"/>
  <c r="S17" i="3"/>
  <c r="U2" i="2"/>
  <c r="B26" i="3"/>
  <c r="N26" i="3" s="1"/>
  <c r="N27" i="3"/>
  <c r="N28" i="3"/>
  <c r="S15" i="3"/>
  <c r="S16" i="3"/>
  <c r="X2" i="3"/>
  <c r="Q20" i="2"/>
  <c r="Q19" i="2"/>
  <c r="Q18" i="2"/>
  <c r="M17" i="2"/>
  <c r="Q17" i="2" s="1"/>
  <c r="M2" i="2"/>
  <c r="P2" i="2" s="1"/>
  <c r="P5" i="2"/>
  <c r="P4" i="2"/>
  <c r="P3" i="2"/>
  <c r="O26" i="3" l="1"/>
  <c r="T15" i="3"/>
  <c r="R17" i="2"/>
  <c r="Q2" i="2"/>
  <c r="AF26" i="1" a="1"/>
  <c r="AF26" i="1" s="1"/>
  <c r="AG25" i="1" a="1"/>
  <c r="AG25" i="1" s="1"/>
  <c r="M30" i="1" a="1"/>
  <c r="M30" i="1" s="1"/>
  <c r="M21" i="1" a="1"/>
  <c r="Y20" i="1"/>
  <c r="X20" i="1"/>
  <c r="W20" i="1"/>
  <c r="V20" i="1"/>
  <c r="U20" i="1"/>
  <c r="T20" i="1"/>
  <c r="S20" i="1"/>
  <c r="R20" i="1"/>
  <c r="Q20" i="1"/>
  <c r="P20" i="1"/>
  <c r="O20" i="1"/>
  <c r="N20" i="1"/>
  <c r="Y19" i="1"/>
  <c r="X19" i="1"/>
  <c r="W19" i="1"/>
  <c r="V19" i="1"/>
  <c r="V18" i="1" s="1"/>
  <c r="U19" i="1"/>
  <c r="T19" i="1"/>
  <c r="S19" i="1"/>
  <c r="R19" i="1"/>
  <c r="R18" i="1" s="1"/>
  <c r="Q19" i="1"/>
  <c r="Q18" i="1" s="1"/>
  <c r="P19" i="1"/>
  <c r="O19" i="1"/>
  <c r="N19" i="1"/>
  <c r="N18" i="1" s="1"/>
  <c r="Y18" i="1"/>
  <c r="X18" i="1"/>
  <c r="W18" i="1"/>
  <c r="U18" i="1"/>
  <c r="T18" i="1"/>
  <c r="S18" i="1"/>
  <c r="P18" i="1"/>
  <c r="O18" i="1"/>
  <c r="M12" i="1" a="1"/>
  <c r="Q10" i="1"/>
  <c r="P10" i="1"/>
  <c r="O10" i="1"/>
  <c r="N10" i="1"/>
  <c r="I10" i="1"/>
  <c r="Q9" i="1"/>
  <c r="P9" i="1"/>
  <c r="O9" i="1"/>
  <c r="N9" i="1"/>
  <c r="I9" i="1"/>
  <c r="I8" i="1"/>
  <c r="I7" i="1"/>
  <c r="I6" i="1"/>
  <c r="I5" i="1"/>
  <c r="I4" i="1"/>
  <c r="AM3" i="1"/>
  <c r="AM4" i="1" s="1"/>
  <c r="AM5" i="1" s="1"/>
  <c r="AM6" i="1" s="1"/>
  <c r="AM7" i="1" s="1"/>
  <c r="AM8" i="1" s="1"/>
  <c r="I3" i="1"/>
  <c r="AO2" i="1" a="1"/>
  <c r="AO2" i="1" s="1"/>
  <c r="T2" i="1" a="1"/>
  <c r="T2" i="1" s="1"/>
  <c r="U2" i="1" s="1"/>
  <c r="M2" i="1" a="1"/>
  <c r="I2" i="1"/>
  <c r="N1" i="1" a="1"/>
  <c r="D19" i="1"/>
  <c r="H24" i="1"/>
  <c r="D24" i="1"/>
  <c r="D18" i="1"/>
  <c r="D20" i="1"/>
  <c r="D25" i="1"/>
  <c r="T7" i="1"/>
  <c r="E31" i="1"/>
  <c r="D13" i="1"/>
  <c r="D14" i="1"/>
  <c r="D32" i="1"/>
  <c r="E30" i="1"/>
  <c r="T6" i="1"/>
  <c r="H18" i="1"/>
  <c r="D15" i="1"/>
  <c r="W7" i="1"/>
  <c r="D26" i="1"/>
  <c r="M2" i="1" l="1"/>
  <c r="U3" i="1"/>
  <c r="U4" i="1"/>
  <c r="M12" i="1"/>
  <c r="N12" i="1" s="1" a="1"/>
  <c r="M21" i="1"/>
  <c r="N21" i="1" s="1" a="1"/>
  <c r="N21" i="1" s="1"/>
  <c r="N1" i="1"/>
  <c r="N2" i="1" l="1" a="1"/>
  <c r="Q3" i="1" s="1"/>
  <c r="V2" i="1"/>
  <c r="AF19" i="1" a="1"/>
  <c r="AF19" i="1" s="1"/>
  <c r="R15" i="1"/>
  <c r="N12" i="1"/>
  <c r="R12" i="1" s="1"/>
  <c r="R14" i="1"/>
  <c r="R13" i="1"/>
  <c r="N2" i="1" l="1"/>
  <c r="Q2" i="1" s="1"/>
  <c r="Q5" i="1"/>
  <c r="Q4" i="1"/>
  <c r="S12" i="1"/>
  <c r="R2" i="1" l="1"/>
  <c r="AP17" i="3"/>
  <c r="AP18" i="3"/>
  <c r="AP20" i="3"/>
  <c r="AP21" i="3"/>
  <c r="AP19" i="3"/>
  <c r="AQ17" i="3" l="1"/>
  <c r="S2" i="3"/>
  <c r="T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<sst xmlns="http://schemas.openxmlformats.org/spreadsheetml/2006/main" count="299" uniqueCount="116">
  <si>
    <t>BUSINESS</t>
  </si>
  <si>
    <t>MAKE</t>
  </si>
  <si>
    <t>MODEL</t>
  </si>
  <si>
    <t>BAT</t>
  </si>
  <si>
    <t>RANGE</t>
  </si>
  <si>
    <t>BHP</t>
  </si>
  <si>
    <t>YEAR</t>
  </si>
  <si>
    <t>MOT</t>
  </si>
  <si>
    <t>SOLD</t>
  </si>
  <si>
    <t>PRICE</t>
  </si>
  <si>
    <t>CO+MK: TOTAL</t>
  </si>
  <si>
    <t>TOTAL</t>
  </si>
  <si>
    <t>ALL</t>
  </si>
  <si>
    <t>SRCH COMBO</t>
  </si>
  <si>
    <t>SUPERCARS BEV</t>
  </si>
  <si>
    <t>PEUGEOT</t>
  </si>
  <si>
    <t>e3008 GT</t>
  </si>
  <si>
    <t>SUPERCARS LEEDS</t>
  </si>
  <si>
    <t>HYUNDAI</t>
  </si>
  <si>
    <t>IONIQ 5 AWD</t>
  </si>
  <si>
    <t>SUPERCARS HULL</t>
  </si>
  <si>
    <t>IONIQ 5 Ultimate</t>
  </si>
  <si>
    <t>SUPERCARS LINCOLN</t>
  </si>
  <si>
    <t>AUDI</t>
  </si>
  <si>
    <t>Quattro e-TRON 50</t>
  </si>
  <si>
    <t>IONIQ 5 Premium</t>
  </si>
  <si>
    <t>Q4 35: E-Tron Nicer</t>
  </si>
  <si>
    <t>e208 GT PREMIUM</t>
  </si>
  <si>
    <t>BUSINESS &gt; QUARTER: 
LEDGER TOTAL</t>
  </si>
  <si>
    <r>
      <t xml:space="preserve">QTR DATES: </t>
    </r>
    <r>
      <rPr>
        <b/>
        <u/>
        <sz val="11"/>
        <color theme="1"/>
        <rFont val="Calibri"/>
        <family val="2"/>
        <scheme val="minor"/>
      </rPr>
      <t>DATE</t>
    </r>
    <r>
      <rPr>
        <b/>
        <sz val="11"/>
        <color theme="1"/>
        <rFont val="Calibri"/>
        <family val="2"/>
        <scheme val="minor"/>
      </rPr>
      <t xml:space="preserve"> + </t>
    </r>
    <r>
      <rPr>
        <b/>
        <u/>
        <sz val="11"/>
        <color theme="1"/>
        <rFont val="Calibri"/>
        <family val="2"/>
        <scheme val="minor"/>
      </rPr>
      <t>EOMONTH</t>
    </r>
    <r>
      <rPr>
        <b/>
        <sz val="11"/>
        <color theme="1"/>
        <rFont val="Calibri"/>
        <family val="2"/>
        <scheme val="minor"/>
      </rPr>
      <t xml:space="preserve"> </t>
    </r>
  </si>
  <si>
    <t>e2008 GT PREMIUM</t>
  </si>
  <si>
    <t>ç</t>
  </si>
  <si>
    <t>Quattro e-TRON 55</t>
  </si>
  <si>
    <t>QTR 1</t>
  </si>
  <si>
    <t>QTR 2</t>
  </si>
  <si>
    <t>QTR 3</t>
  </si>
  <si>
    <t>QTR 4</t>
  </si>
  <si>
    <t>1. FORMULAS EXPLAINED</t>
  </si>
  <si>
    <t>CATEGORY COL</t>
  </si>
  <si>
    <t>HDR TITLE ROW</t>
  </si>
  <si>
    <t>SUM DYN SPILL</t>
  </si>
  <si>
    <t>2. FORMULAS EXPLAINED</t>
  </si>
  <si>
    <t>QTR1 START EX:</t>
  </si>
  <si>
    <t>QTR1 END EX:</t>
  </si>
  <si>
    <t>BUSINESS &gt; MONTH: 
LEDGER TOTAL</t>
  </si>
  <si>
    <t>COLUMN CATEGORIES VERT:</t>
  </si>
  <si>
    <t>SUMS COL SPILLS ex QTR 1: M17</t>
  </si>
  <si>
    <t>NAME RANGES</t>
  </si>
  <si>
    <t>QTR_S</t>
  </si>
  <si>
    <t>=N9:Q9</t>
  </si>
  <si>
    <t>QTR_E</t>
  </si>
  <si>
    <t>=N10:Q10</t>
  </si>
  <si>
    <t>3. FORMULAS EXPLAINED</t>
  </si>
  <si>
    <t>COMBO SEARCH: BUSINESS + MAKE (BLUE DROPDOWN COMBO BOXES, SELECT CHOICES)</t>
  </si>
  <si>
    <t>=N19:Y19</t>
  </si>
  <si>
    <t>=N20:Y20</t>
  </si>
  <si>
    <t>4. FORMULAS EXPLAINED</t>
  </si>
  <si>
    <t>BUSINESS COMBO DV</t>
  </si>
  <si>
    <t>è</t>
  </si>
  <si>
    <t>MAKE COMBO DV</t>
  </si>
  <si>
    <t>SPILLS</t>
  </si>
  <si>
    <t>MTH_End</t>
  </si>
  <si>
    <t>MTH_Start</t>
  </si>
  <si>
    <t>CO &gt; MAKE: LEDGER TOTAL</t>
  </si>
  <si>
    <t>SUPERCARS BEVERLEY</t>
  </si>
  <si>
    <t>FORMULAS EXPLAINED</t>
  </si>
  <si>
    <t>COLUMN CATEGORIES VERT</t>
  </si>
  <si>
    <t>L2#</t>
  </si>
  <si>
    <t>HDR TITLE CATEGORIES HORIZ</t>
  </si>
  <si>
    <t>M1#</t>
  </si>
  <si>
    <t>SUMIFS DYNAMIC SPILL TBL: M2</t>
  </si>
  <si>
    <t>=M2:P5</t>
  </si>
  <si>
    <t>SUB</t>
  </si>
  <si>
    <t>?</t>
  </si>
  <si>
    <r>
      <t xml:space="preserve">FORMATTED QUARTER DATES: </t>
    </r>
    <r>
      <rPr>
        <b/>
        <u/>
        <sz val="11"/>
        <color theme="1"/>
        <rFont val="Calibri"/>
        <family val="2"/>
        <scheme val="minor"/>
      </rPr>
      <t>DATE</t>
    </r>
    <r>
      <rPr>
        <b/>
        <sz val="11"/>
        <color theme="1"/>
        <rFont val="Calibri"/>
        <family val="2"/>
        <scheme val="minor"/>
      </rPr>
      <t xml:space="preserve"> + </t>
    </r>
    <r>
      <rPr>
        <b/>
        <u/>
        <sz val="11"/>
        <color theme="1"/>
        <rFont val="Calibri"/>
        <family val="2"/>
        <scheme val="minor"/>
      </rPr>
      <t>EOMONTH</t>
    </r>
    <r>
      <rPr>
        <b/>
        <sz val="11"/>
        <color theme="1"/>
        <rFont val="Calibri"/>
        <family val="2"/>
        <scheme val="minor"/>
      </rPr>
      <t xml:space="preserve"> </t>
    </r>
  </si>
  <si>
    <t>COMBO YR</t>
  </si>
  <si>
    <t>CELL: D12</t>
  </si>
  <si>
    <t>CELL: C13</t>
  </si>
  <si>
    <t>QUARTER1 DATE START EX:</t>
  </si>
  <si>
    <t>QTR1 DATE END EX:</t>
  </si>
  <si>
    <t>COMBO YR DATA VAL LIST</t>
  </si>
  <si>
    <t>VILLAGE</t>
  </si>
  <si>
    <t>PRIORY PARK</t>
  </si>
  <si>
    <t>MOUNT PLEASANT</t>
  </si>
  <si>
    <t>ST ANDREWS QUAY</t>
  </si>
  <si>
    <t>MARKET STREET</t>
  </si>
  <si>
    <t>HIGH STREET MKT</t>
  </si>
  <si>
    <t>LET EXAMPLES</t>
  </si>
  <si>
    <t>SUM PRODUCT SUMIFS : NON SPILL EXAMPLES</t>
  </si>
  <si>
    <t>BUSINESS &gt; MTH: TOTAL</t>
  </si>
  <si>
    <t>e208 GT Prem</t>
  </si>
  <si>
    <t>e2008 GT Prem</t>
  </si>
  <si>
    <t>Q4 35: E-Tron</t>
  </si>
  <si>
    <t>IONIQ 5 Prem</t>
  </si>
  <si>
    <t>Quattro eTron 50</t>
  </si>
  <si>
    <t>Quattro eTron 55</t>
  </si>
  <si>
    <t>QUARTER 1 START EX:</t>
  </si>
  <si>
    <t>QUATER1 END EX:</t>
  </si>
  <si>
    <t>SUMS COL SPILLS ex QTR 1:</t>
  </si>
  <si>
    <t>SUMIFS 3 CRITERIA SPILL: BUSINESS + DATE1 + DATE2</t>
  </si>
  <si>
    <t>=INDEX(N32#, 0, 2)</t>
  </si>
  <si>
    <t>=OFFSET(N32#, 0, 1)</t>
  </si>
  <si>
    <t>SUMIFS 3 CRITERIA SPILL DYNAMIC except end columns: SUBTOTAL &amp;TOTAL</t>
  </si>
  <si>
    <t>SUMIFS 3 CRITERIA SUMS : COPY&amp;PASTE ROWS &gt; P2, Q2, R2</t>
  </si>
  <si>
    <t>x</t>
  </si>
  <si>
    <t>SEQUENCE EXAMPLE</t>
  </si>
  <si>
    <t>LET SORTBY EXAMPLE</t>
  </si>
  <si>
    <t>Row Labels</t>
  </si>
  <si>
    <t>Grand Total</t>
  </si>
  <si>
    <t>Sum of PRICE</t>
  </si>
  <si>
    <t>Column Labels</t>
  </si>
  <si>
    <t>INDEX / OFFSET / SEQUENCE ex</t>
  </si>
  <si>
    <t>SUMIFS 2 COLUMN - PIVOT TBL EQUIV</t>
  </si>
  <si>
    <t>COLUMN 1 SPILL</t>
  </si>
  <si>
    <t>COL 2 SPILL</t>
  </si>
  <si>
    <t>COMBO SEARCH: BUSINESS + MAKE (BLUE DROPDOWN COMBO BOXES)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</si>
</sst>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dd/mm/yy"/>
    <numFmt numFmtId="165" formatCode="dd\-mm\-yy"/>
    <numFmt numFmtId="166" formatCode="dd/mm/yyyy;@"/>
    <numFmt numFmtId="167" formatCode="&quot;£&quot;#,##0,&quot;K&quot;"/>
    <numFmt numFmtId="168" formatCode="0\ &quot;KW&quot;"/>
    <numFmt numFmtId="169" formatCode="0\ &quot;Mile&quot;"/>
    <numFmt numFmtId="170" formatCode="0\ &quot;BHP&quot;"/>
    <numFmt numFmtId="171" formatCode="d/m/yy"/>
    <numFmt numFmtId="172" formatCode="&quot;£&quot;#,##0"/>
    <numFmt numFmtId="173" formatCode="mmm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1" xfId="0" applyFont="1" applyFill="1" applyBorder="1"/>
    <xf numFmtId="166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" fillId="2" borderId="1" xfId="0" applyFont="1" applyFill="1" applyBorder="1"/>
    <xf numFmtId="167" fontId="1" fillId="2" borderId="1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4" fillId="5" borderId="1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168" fontId="0" fillId="5" borderId="1" xfId="0" applyNumberFormat="1" applyFill="1" applyBorder="1" applyAlignment="1">
      <alignment horizontal="center" vertical="center"/>
    </xf>
    <xf numFmtId="169" fontId="5" fillId="6" borderId="3" xfId="0" applyNumberFormat="1" applyFont="1" applyFill="1" applyBorder="1" applyAlignment="1">
      <alignment horizontal="center" vertical="center"/>
    </xf>
    <xf numFmtId="170" fontId="5" fillId="6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71" fontId="0" fillId="5" borderId="1" xfId="0" applyNumberFormat="1" applyFill="1" applyBorder="1" applyAlignment="1">
      <alignment horizontal="center" vertical="center"/>
    </xf>
    <xf numFmtId="171" fontId="0" fillId="5" borderId="1" xfId="0" applyNumberFormat="1" applyFill="1" applyBorder="1" applyAlignment="1">
      <alignment horizontal="center"/>
    </xf>
    <xf numFmtId="167" fontId="1" fillId="5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/>
    <xf numFmtId="167" fontId="0" fillId="8" borderId="1" xfId="0" applyNumberFormat="1" applyFill="1" applyBorder="1" applyAlignment="1">
      <alignment horizontal="center"/>
    </xf>
    <xf numFmtId="0" fontId="4" fillId="0" borderId="1" xfId="0" applyFont="1" applyBorder="1"/>
    <xf numFmtId="167" fontId="0" fillId="0" borderId="1" xfId="0" applyNumberFormat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168" fontId="6" fillId="5" borderId="1" xfId="0" applyNumberFormat="1" applyFont="1" applyFill="1" applyBorder="1" applyAlignment="1">
      <alignment horizontal="center" vertical="center"/>
    </xf>
    <xf numFmtId="169" fontId="5" fillId="5" borderId="1" xfId="0" applyNumberFormat="1" applyFont="1" applyFill="1" applyBorder="1" applyAlignment="1">
      <alignment horizontal="center" vertical="center"/>
    </xf>
    <xf numFmtId="170" fontId="5" fillId="5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169" fontId="5" fillId="6" borderId="1" xfId="0" applyNumberFormat="1" applyFont="1" applyFill="1" applyBorder="1" applyAlignment="1">
      <alignment horizontal="center" vertical="center"/>
    </xf>
    <xf numFmtId="167" fontId="0" fillId="0" borderId="0" xfId="0" applyNumberFormat="1"/>
    <xf numFmtId="0" fontId="1" fillId="0" borderId="0" xfId="0" applyFont="1"/>
    <xf numFmtId="17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/>
    <xf numFmtId="172" fontId="0" fillId="0" borderId="0" xfId="0" applyNumberFormat="1"/>
    <xf numFmtId="171" fontId="3" fillId="2" borderId="1" xfId="0" applyNumberFormat="1" applyFont="1" applyFill="1" applyBorder="1" applyAlignment="1">
      <alignment horizontal="center"/>
    </xf>
    <xf numFmtId="171" fontId="3" fillId="2" borderId="5" xfId="0" applyNumberFormat="1" applyFont="1" applyFill="1" applyBorder="1" applyAlignment="1">
      <alignment horizontal="center"/>
    </xf>
    <xf numFmtId="1" fontId="1" fillId="1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171" fontId="3" fillId="2" borderId="2" xfId="0" applyNumberFormat="1" applyFont="1" applyFill="1" applyBorder="1" applyAlignment="1">
      <alignment horizontal="center"/>
    </xf>
    <xf numFmtId="171" fontId="3" fillId="2" borderId="6" xfId="0" applyNumberFormat="1" applyFont="1" applyFill="1" applyBorder="1" applyAlignment="1">
      <alignment horizontal="center"/>
    </xf>
    <xf numFmtId="1" fontId="1" fillId="10" borderId="2" xfId="0" applyNumberFormat="1" applyFont="1" applyFill="1" applyBorder="1" applyAlignment="1">
      <alignment horizontal="center"/>
    </xf>
    <xf numFmtId="164" fontId="0" fillId="0" borderId="0" xfId="0" applyNumberFormat="1"/>
    <xf numFmtId="165" fontId="0" fillId="0" borderId="0" xfId="0" applyNumberFormat="1" applyAlignment="1">
      <alignment horizontal="center"/>
    </xf>
    <xf numFmtId="167" fontId="1" fillId="0" borderId="1" xfId="0" applyNumberFormat="1" applyFont="1" applyBorder="1" applyAlignment="1">
      <alignment horizontal="center"/>
    </xf>
    <xf numFmtId="0" fontId="1" fillId="7" borderId="0" xfId="0" applyFont="1" applyFill="1"/>
    <xf numFmtId="0" fontId="5" fillId="0" borderId="0" xfId="0" applyFont="1"/>
    <xf numFmtId="0" fontId="1" fillId="4" borderId="0" xfId="0" applyFont="1" applyFill="1"/>
    <xf numFmtId="0" fontId="1" fillId="0" borderId="0" xfId="0" applyFont="1" applyAlignment="1">
      <alignment horizontal="center"/>
    </xf>
    <xf numFmtId="0" fontId="1" fillId="11" borderId="0" xfId="0" applyFont="1" applyFill="1"/>
    <xf numFmtId="172" fontId="0" fillId="0" borderId="0" xfId="0" quotePrefix="1" applyNumberFormat="1" applyAlignment="1">
      <alignment horizontal="center"/>
    </xf>
    <xf numFmtId="172" fontId="0" fillId="0" borderId="0" xfId="0" applyNumberFormat="1" applyAlignment="1">
      <alignment horizontal="center" vertical="center"/>
    </xf>
    <xf numFmtId="173" fontId="0" fillId="0" borderId="0" xfId="0" applyNumberFormat="1"/>
    <xf numFmtId="173" fontId="1" fillId="12" borderId="7" xfId="0" applyNumberFormat="1" applyFont="1" applyFill="1" applyBorder="1" applyAlignment="1">
      <alignment horizontal="center"/>
    </xf>
    <xf numFmtId="173" fontId="1" fillId="12" borderId="1" xfId="0" applyNumberFormat="1" applyFont="1" applyFill="1" applyBorder="1" applyAlignment="1">
      <alignment horizontal="center"/>
    </xf>
    <xf numFmtId="164" fontId="9" fillId="2" borderId="7" xfId="0" applyNumberFormat="1" applyFont="1" applyFill="1" applyBorder="1" applyAlignment="1">
      <alignment horizontal="center"/>
    </xf>
    <xf numFmtId="164" fontId="9" fillId="2" borderId="1" xfId="0" applyNumberFormat="1" applyFon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0" fontId="1" fillId="0" borderId="0" xfId="0" quotePrefix="1" applyFont="1"/>
    <xf numFmtId="0" fontId="5" fillId="0" borderId="0" xfId="0" quotePrefix="1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/>
    <xf numFmtId="167" fontId="0" fillId="8" borderId="0" xfId="0" applyNumberFormat="1" applyFill="1" applyAlignment="1">
      <alignment horizontal="center" vertical="center"/>
    </xf>
    <xf numFmtId="167" fontId="0" fillId="8" borderId="0" xfId="0" applyNumberFormat="1" applyFill="1" applyAlignment="1">
      <alignment horizontal="center"/>
    </xf>
    <xf numFmtId="0" fontId="3" fillId="0" borderId="0" xfId="0" applyFont="1"/>
    <xf numFmtId="164" fontId="1" fillId="0" borderId="0" xfId="0" applyNumberFormat="1" applyFont="1"/>
    <xf numFmtId="0" fontId="3" fillId="10" borderId="0" xfId="0" applyFont="1" applyFill="1"/>
    <xf numFmtId="0" fontId="1" fillId="10" borderId="0" xfId="0" applyFont="1" applyFill="1"/>
    <xf numFmtId="0" fontId="8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0" fontId="10" fillId="0" borderId="0" xfId="0" applyFont="1" applyAlignment="1">
      <alignment horizontal="center"/>
    </xf>
    <xf numFmtId="167" fontId="10" fillId="0" borderId="0" xfId="0" applyNumberFormat="1" applyFont="1" applyAlignment="1">
      <alignment horizontal="center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center"/>
    </xf>
    <xf numFmtId="166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/>
    </xf>
    <xf numFmtId="0" fontId="1" fillId="7" borderId="1" xfId="0" applyFont="1" applyFill="1" applyBorder="1"/>
    <xf numFmtId="167" fontId="1" fillId="4" borderId="1" xfId="0" applyNumberFormat="1" applyFont="1" applyFill="1" applyBorder="1" applyAlignment="1">
      <alignment horizontal="center"/>
    </xf>
    <xf numFmtId="0" fontId="0" fillId="0" borderId="1" xfId="0" applyBorder="1"/>
    <xf numFmtId="0" fontId="9" fillId="5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" fillId="9" borderId="0" xfId="0" applyFont="1" applyFill="1"/>
    <xf numFmtId="167" fontId="9" fillId="2" borderId="1" xfId="0" applyNumberFormat="1" applyFont="1" applyFill="1" applyBorder="1"/>
    <xf numFmtId="166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67" fontId="0" fillId="13" borderId="1" xfId="0" applyNumberForma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64" fontId="5" fillId="2" borderId="5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164" fontId="5" fillId="2" borderId="6" xfId="0" applyNumberFormat="1" applyFont="1" applyFill="1" applyBorder="1" applyAlignment="1">
      <alignment horizontal="center"/>
    </xf>
    <xf numFmtId="0" fontId="0" fillId="0" borderId="0" xfId="0" applyAlignment="1">
      <alignment vertical="center" wrapText="1"/>
    </xf>
    <xf numFmtId="167" fontId="0" fillId="0" borderId="0" xfId="0" applyNumberForma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quotePrefix="1"/>
    <xf numFmtId="164" fontId="0" fillId="0" borderId="0" xfId="0" quotePrefix="1" applyNumberFormat="1"/>
    <xf numFmtId="0" fontId="10" fillId="0" borderId="0" xfId="0" quotePrefix="1" applyFont="1" applyAlignment="1">
      <alignment wrapText="1"/>
    </xf>
    <xf numFmtId="0" fontId="5" fillId="5" borderId="1" xfId="0" applyFont="1" applyFill="1" applyBorder="1"/>
    <xf numFmtId="0" fontId="4" fillId="5" borderId="3" xfId="0" applyFont="1" applyFill="1" applyBorder="1"/>
    <xf numFmtId="0" fontId="4" fillId="5" borderId="1" xfId="0" applyFont="1" applyFill="1" applyBorder="1"/>
    <xf numFmtId="0" fontId="10" fillId="5" borderId="1" xfId="0" applyFont="1" applyFill="1" applyBorder="1"/>
    <xf numFmtId="167" fontId="0" fillId="8" borderId="1" xfId="0" applyNumberFormat="1" applyFill="1" applyBorder="1" applyAlignment="1">
      <alignment horizontal="center" vertical="center"/>
    </xf>
    <xf numFmtId="1" fontId="1" fillId="10" borderId="1" xfId="0" applyNumberFormat="1" applyFont="1" applyFill="1" applyBorder="1" applyAlignment="1">
      <alignment horizontal="center" vertical="center"/>
    </xf>
    <xf numFmtId="0" fontId="9" fillId="5" borderId="1" xfId="0" applyFont="1" applyFill="1" applyBorder="1"/>
    <xf numFmtId="167" fontId="4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9" fillId="7" borderId="1" xfId="0" applyFont="1" applyFill="1" applyBorder="1"/>
    <xf numFmtId="0" fontId="4" fillId="0" borderId="1" xfId="0" applyFont="1" applyBorder="1" applyAlignment="1">
      <alignment vertical="center"/>
    </xf>
    <xf numFmtId="0" fontId="4" fillId="6" borderId="4" xfId="0" applyFont="1" applyFill="1" applyBorder="1" applyAlignment="1">
      <alignment vertical="center"/>
    </xf>
    <xf numFmtId="0" fontId="4" fillId="5" borderId="5" xfId="0" applyFont="1" applyFill="1" applyBorder="1" applyAlignment="1">
      <alignment vertical="center"/>
    </xf>
    <xf numFmtId="0" fontId="4" fillId="6" borderId="5" xfId="0" applyFont="1" applyFill="1" applyBorder="1" applyAlignment="1">
      <alignment vertical="center"/>
    </xf>
    <xf numFmtId="0" fontId="0" fillId="0" borderId="17" xfId="0" applyBorder="1"/>
    <xf numFmtId="0" fontId="5" fillId="0" borderId="16" xfId="0" applyFont="1" applyBorder="1"/>
    <xf numFmtId="0" fontId="0" fillId="0" borderId="16" xfId="0" applyBorder="1" applyAlignment="1">
      <alignment horizontal="center"/>
    </xf>
    <xf numFmtId="0" fontId="5" fillId="0" borderId="19" xfId="0" applyFont="1" applyBorder="1"/>
    <xf numFmtId="172" fontId="0" fillId="0" borderId="19" xfId="0" quotePrefix="1" applyNumberFormat="1" applyBorder="1" applyAlignment="1">
      <alignment horizontal="center"/>
    </xf>
    <xf numFmtId="0" fontId="0" fillId="0" borderId="20" xfId="0" applyBorder="1"/>
    <xf numFmtId="0" fontId="1" fillId="9" borderId="10" xfId="0" applyFont="1" applyFill="1" applyBorder="1" applyAlignment="1">
      <alignment horizontal="center"/>
    </xf>
    <xf numFmtId="0" fontId="0" fillId="0" borderId="19" xfId="0" applyBorder="1"/>
    <xf numFmtId="0" fontId="1" fillId="0" borderId="18" xfId="0" applyFont="1" applyBorder="1"/>
    <xf numFmtId="0" fontId="1" fillId="0" borderId="19" xfId="0" applyFont="1" applyBorder="1"/>
    <xf numFmtId="164" fontId="0" fillId="0" borderId="19" xfId="0" applyNumberFormat="1" applyBorder="1"/>
    <xf numFmtId="165" fontId="0" fillId="0" borderId="19" xfId="0" applyNumberFormat="1" applyBorder="1" applyAlignment="1">
      <alignment horizontal="center"/>
    </xf>
    <xf numFmtId="0" fontId="5" fillId="0" borderId="19" xfId="0" quotePrefix="1" applyFont="1" applyBorder="1"/>
    <xf numFmtId="167" fontId="0" fillId="14" borderId="0" xfId="0" quotePrefix="1" applyNumberFormat="1" applyFill="1"/>
    <xf numFmtId="167" fontId="0" fillId="0" borderId="0" xfId="0" quotePrefix="1" applyNumberFormat="1"/>
    <xf numFmtId="167" fontId="1" fillId="0" borderId="1" xfId="0" applyNumberFormat="1" applyFont="1" applyBorder="1" applyAlignment="1">
      <alignment horizontal="center" vertical="center"/>
    </xf>
    <xf numFmtId="0" fontId="1" fillId="9" borderId="18" xfId="0" applyFont="1" applyFill="1" applyBorder="1" applyAlignment="1">
      <alignment horizontal="center"/>
    </xf>
    <xf numFmtId="0" fontId="0" fillId="0" borderId="0" xfId="0" quotePrefix="1" applyAlignment="1">
      <alignment wrapText="1"/>
    </xf>
    <xf numFmtId="167" fontId="1" fillId="0" borderId="0" xfId="0" applyNumberFormat="1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7" fontId="9" fillId="14" borderId="1" xfId="0" quotePrefix="1" applyNumberFormat="1" applyFont="1" applyFill="1" applyBorder="1"/>
    <xf numFmtId="0" fontId="9" fillId="0" borderId="1" xfId="0" applyFont="1" applyBorder="1"/>
    <xf numFmtId="167" fontId="9" fillId="0" borderId="1" xfId="0" applyNumberFormat="1" applyFont="1" applyBorder="1"/>
    <xf numFmtId="0" fontId="4" fillId="14" borderId="0" xfId="0" applyFont="1" applyFill="1"/>
    <xf numFmtId="0" fontId="1" fillId="15" borderId="18" xfId="0" applyFont="1" applyFill="1" applyBorder="1"/>
    <xf numFmtId="0" fontId="5" fillId="0" borderId="0" xfId="0" applyFont="1" applyAlignment="1">
      <alignment wrapText="1"/>
    </xf>
    <xf numFmtId="167" fontId="1" fillId="0" borderId="1" xfId="0" applyNumberFormat="1" applyFon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4" fontId="1" fillId="9" borderId="1" xfId="0" applyNumberFormat="1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164" fontId="12" fillId="13" borderId="2" xfId="0" applyNumberFormat="1" applyFont="1" applyFill="1" applyBorder="1" applyAlignment="1">
      <alignment horizontal="center" vertical="center"/>
    </xf>
    <xf numFmtId="164" fontId="12" fillId="13" borderId="8" xfId="0" applyNumberFormat="1" applyFont="1" applyFill="1" applyBorder="1" applyAlignment="1">
      <alignment horizontal="center" vertical="center"/>
    </xf>
    <xf numFmtId="164" fontId="12" fillId="13" borderId="3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5" fillId="12" borderId="0" xfId="0" applyFont="1" applyFill="1"/>
    <xf numFmtId="0" fontId="1" fillId="15" borderId="18" xfId="0" applyFont="1" applyFill="1" applyBorder="1" applyAlignment="1">
      <alignment horizontal="center"/>
    </xf>
    <xf numFmtId="0" fontId="1" fillId="15" borderId="20" xfId="0" applyFont="1" applyFill="1" applyBorder="1" applyAlignment="1">
      <alignment horizontal="center"/>
    </xf>
    <xf numFmtId="0" fontId="5" fillId="0" borderId="19" xfId="0" applyFont="1" applyBorder="1"/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1" fillId="7" borderId="18" xfId="0" applyFont="1" applyFill="1" applyBorder="1" applyAlignment="1">
      <alignment horizontal="center"/>
    </xf>
    <xf numFmtId="0" fontId="1" fillId="7" borderId="2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9" borderId="18" xfId="0" applyFont="1" applyFill="1" applyBorder="1" applyAlignment="1">
      <alignment horizontal="center"/>
    </xf>
    <xf numFmtId="0" fontId="1" fillId="9" borderId="20" xfId="0" applyFont="1" applyFill="1" applyBorder="1" applyAlignment="1">
      <alignment horizontal="center"/>
    </xf>
    <xf numFmtId="172" fontId="1" fillId="4" borderId="19" xfId="0" applyNumberFormat="1" applyFont="1" applyFill="1" applyBorder="1"/>
    <xf numFmtId="172" fontId="1" fillId="4" borderId="20" xfId="0" applyNumberFormat="1" applyFont="1" applyFill="1" applyBorder="1"/>
    <xf numFmtId="0" fontId="1" fillId="4" borderId="19" xfId="0" applyFont="1" applyFill="1" applyBorder="1"/>
    <xf numFmtId="0" fontId="1" fillId="4" borderId="20" xfId="0" applyFont="1" applyFill="1" applyBorder="1"/>
    <xf numFmtId="0" fontId="11" fillId="14" borderId="11" xfId="0" applyFont="1" applyFill="1" applyBorder="1" applyAlignment="1">
      <alignment horizontal="center" vertical="center" wrapText="1"/>
    </xf>
    <xf numFmtId="0" fontId="11" fillId="14" borderId="12" xfId="0" applyFont="1" applyFill="1" applyBorder="1" applyAlignment="1">
      <alignment horizontal="center" vertical="center" wrapText="1"/>
    </xf>
    <xf numFmtId="0" fontId="11" fillId="14" borderId="15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/>
    </xf>
    <xf numFmtId="0" fontId="1" fillId="11" borderId="18" xfId="0" applyFont="1" applyFill="1" applyBorder="1" applyAlignment="1">
      <alignment horizontal="center"/>
    </xf>
    <xf numFmtId="0" fontId="1" fillId="11" borderId="19" xfId="0" applyFont="1" applyFill="1" applyBorder="1" applyAlignment="1">
      <alignment horizontal="center"/>
    </xf>
    <xf numFmtId="0" fontId="1" fillId="11" borderId="20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0" borderId="19" xfId="0" quotePrefix="1" applyFont="1" applyBorder="1" applyAlignment="1">
      <alignment horizontal="center"/>
    </xf>
    <xf numFmtId="0" fontId="1" fillId="0" borderId="20" xfId="0" quotePrefix="1" applyFont="1" applyBorder="1" applyAlignment="1">
      <alignment horizontal="center"/>
    </xf>
    <xf numFmtId="0" fontId="1" fillId="0" borderId="18" xfId="0" quotePrefix="1" applyFont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14" fontId="1" fillId="9" borderId="5" xfId="0" applyNumberFormat="1" applyFont="1" applyFill="1" applyBorder="1" applyAlignment="1">
      <alignment horizontal="center"/>
    </xf>
    <xf numFmtId="14" fontId="1" fillId="9" borderId="9" xfId="0" applyNumberFormat="1" applyFont="1" applyFill="1" applyBorder="1" applyAlignment="1">
      <alignment horizontal="center"/>
    </xf>
    <xf numFmtId="14" fontId="1" fillId="9" borderId="7" xfId="0" applyNumberFormat="1" applyFont="1" applyFill="1" applyBorder="1" applyAlignment="1">
      <alignment horizontal="center"/>
    </xf>
    <xf numFmtId="0" fontId="5" fillId="0" borderId="18" xfId="0" applyFont="1" applyBorder="1" applyAlignment="1"/>
    <xf numFmtId="0" fontId="5" fillId="0" borderId="20" xfId="0" applyFont="1" applyBorder="1" applyAlignment="1"/>
    <xf numFmtId="0" fontId="4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67" fontId="10" fillId="0" borderId="1" xfId="0" applyNumberFormat="1" applyFont="1" applyBorder="1" applyAlignment="1">
      <alignment horizontal="center"/>
    </xf>
  </cellXfs>
  <cellStyles count="1">
    <cellStyle name="Normal" xfId="0" builtinId="0"/>
  </cellStyles>
  <dxfs count="7"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B050"/>
      </font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B050"/>
      </font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%23NEW\DYNAMC%20SPILL%20LEDGER%20V2%20inc%202nd%20%23.xlsx" TargetMode="External"/><Relationship Id="rId1" Type="http://schemas.openxmlformats.org/officeDocument/2006/relationships/externalLinkPath" Target="DYNAMC%20SPILL%20LEDGER%20V2%20inc%202nd%20%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 DYNAMIC LEDGER"/>
      <sheetName val="SUM DYNAMIC LEDGER (2)"/>
    </sheetNames>
    <sheetDataSet>
      <sheetData sheetId="0" refreshError="1"/>
      <sheetData sheetId="1">
        <row r="14">
          <cell r="M14">
            <v>45658</v>
          </cell>
          <cell r="N14">
            <v>45748</v>
          </cell>
          <cell r="O14">
            <v>45839</v>
          </cell>
          <cell r="P14">
            <v>45931</v>
          </cell>
        </row>
        <row r="15">
          <cell r="M15">
            <v>45747</v>
          </cell>
          <cell r="N15">
            <v>45838</v>
          </cell>
          <cell r="O15">
            <v>45930</v>
          </cell>
          <cell r="P15">
            <v>46022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32.964232638886" createdVersion="8" refreshedVersion="8" minRefreshableVersion="3" recordCount="9" xr:uid="{42CF655F-EE24-4555-9BB7-3AB5099EBAE7}">
  <cacheSource type="worksheet">
    <worksheetSource ref="A1:K10" sheet="SUM DYN LEDGER 2COL"/>
  </cacheSource>
  <cacheFields count="11">
    <cacheField name="BUSINESS" numFmtId="0">
      <sharedItems count="3">
        <s v="SUPERCARS HULL"/>
        <s v="SUPERCARS LEEDS"/>
        <s v="SUPERCARS LINCOLN"/>
      </sharedItems>
    </cacheField>
    <cacheField name="VILLAGE" numFmtId="0">
      <sharedItems count="5">
        <s v="PRIORY PARK"/>
        <s v="HIGH STREET MKT"/>
        <s v="MARKET STREET"/>
        <s v="MOUNT PLEASANT"/>
        <s v="ST ANDREWS QUAY"/>
      </sharedItems>
    </cacheField>
    <cacheField name="MAKE" numFmtId="0">
      <sharedItems count="3">
        <s v="PEUGEOT"/>
        <s v="HYUNDAI"/>
        <s v="AUDI"/>
      </sharedItems>
    </cacheField>
    <cacheField name="MODEL" numFmtId="0">
      <sharedItems/>
    </cacheField>
    <cacheField name="BAT" numFmtId="168">
      <sharedItems containsSemiMixedTypes="0" containsString="0" containsNumber="1" containsInteger="1" minValue="50" maxValue="95"/>
    </cacheField>
    <cacheField name="RANGE" numFmtId="169">
      <sharedItems containsSemiMixedTypes="0" containsString="0" containsNumber="1" containsInteger="1" minValue="194" maxValue="326"/>
    </cacheField>
    <cacheField name="BHP" numFmtId="170">
      <sharedItems containsSemiMixedTypes="0" containsString="0" containsNumber="1" containsInteger="1" minValue="134" maxValue="402"/>
    </cacheField>
    <cacheField name="YEAR" numFmtId="0">
      <sharedItems containsSemiMixedTypes="0" containsString="0" containsNumber="1" containsInteger="1" minValue="2020" maxValue="2024"/>
    </cacheField>
    <cacheField name="MOT" numFmtId="171">
      <sharedItems containsSemiMixedTypes="0" containsNonDate="0" containsDate="1" containsString="0" minDate="2026-01-01T00:00:00" maxDate="2026-12-26T00:00:00"/>
    </cacheField>
    <cacheField name="SOLD" numFmtId="171">
      <sharedItems containsSemiMixedTypes="0" containsNonDate="0" containsDate="1" containsString="0" minDate="2025-01-01T00:00:00" maxDate="2025-12-26T00:00:00"/>
    </cacheField>
    <cacheField name="PRICE" numFmtId="167">
      <sharedItems containsSemiMixedTypes="0" containsString="0" containsNumber="1" containsInteger="1" minValue="9000" maxValue="2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s v="e3008 GT"/>
    <n v="73"/>
    <n v="326"/>
    <n v="296"/>
    <n v="2024"/>
    <d v="2026-01-01T00:00:00"/>
    <d v="2025-01-01T00:00:00"/>
    <n v="20000"/>
  </r>
  <r>
    <x v="1"/>
    <x v="1"/>
    <x v="1"/>
    <s v="IONIQ 5 AWD"/>
    <n v="77"/>
    <n v="268"/>
    <n v="321"/>
    <n v="2023"/>
    <d v="2026-01-01T00:00:00"/>
    <d v="2025-01-01T00:00:00"/>
    <n v="18000"/>
  </r>
  <r>
    <x v="0"/>
    <x v="0"/>
    <x v="1"/>
    <s v="IONIQ 5 Ultimate"/>
    <n v="73"/>
    <n v="315"/>
    <n v="214"/>
    <n v="2022"/>
    <d v="2026-04-01T00:00:00"/>
    <d v="2025-04-01T00:00:00"/>
    <n v="16000"/>
  </r>
  <r>
    <x v="2"/>
    <x v="2"/>
    <x v="2"/>
    <s v="Quattro eTron 50"/>
    <n v="71"/>
    <n v="194"/>
    <n v="309"/>
    <n v="2021"/>
    <d v="2026-05-01T00:00:00"/>
    <d v="2025-05-01T00:00:00"/>
    <n v="15000"/>
  </r>
  <r>
    <x v="0"/>
    <x v="3"/>
    <x v="1"/>
    <s v="IONIQ 5 Prem"/>
    <n v="58"/>
    <n v="238"/>
    <n v="168"/>
    <n v="2021"/>
    <d v="2026-06-01T00:00:00"/>
    <d v="2025-06-01T00:00:00"/>
    <n v="15000"/>
  </r>
  <r>
    <x v="0"/>
    <x v="4"/>
    <x v="2"/>
    <s v="Q4 35: E-Tron"/>
    <n v="55"/>
    <n v="215"/>
    <n v="168"/>
    <n v="2020"/>
    <d v="2026-07-01T00:00:00"/>
    <d v="2025-07-01T00:00:00"/>
    <n v="14000"/>
  </r>
  <r>
    <x v="2"/>
    <x v="2"/>
    <x v="0"/>
    <s v="e208 GT Prem"/>
    <n v="50"/>
    <n v="232"/>
    <n v="134"/>
    <n v="2020"/>
    <d v="2026-10-01T00:00:00"/>
    <d v="2025-10-01T00:00:00"/>
    <n v="9000"/>
  </r>
  <r>
    <x v="0"/>
    <x v="3"/>
    <x v="0"/>
    <s v="e2008 GT Prem"/>
    <n v="50"/>
    <n v="206"/>
    <n v="136"/>
    <n v="2021"/>
    <d v="2026-11-01T00:00:00"/>
    <d v="2025-11-01T00:00:00"/>
    <n v="10000"/>
  </r>
  <r>
    <x v="0"/>
    <x v="4"/>
    <x v="2"/>
    <s v="Quattro eTron 55"/>
    <n v="95"/>
    <n v="252"/>
    <n v="402"/>
    <n v="2022"/>
    <d v="2026-12-25T00:00:00"/>
    <d v="2025-12-25T00:00:00"/>
    <n v="18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4D2D68-85DD-4A11-8174-2AFB142F9E0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E13" firstHeaderRow="1" firstDataRow="2" firstDataCol="1"/>
  <pivotFields count="11">
    <pivotField axis="axisRow" showAll="0">
      <items count="4">
        <item x="0"/>
        <item sd="0" x="1"/>
        <item x="2"/>
        <item t="default"/>
      </items>
    </pivotField>
    <pivotField axis="axisRow" showAll="0">
      <items count="6">
        <item x="1"/>
        <item x="2"/>
        <item x="3"/>
        <item x="0"/>
        <item x="4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numFmtId="168" showAll="0"/>
    <pivotField numFmtId="169" showAll="0"/>
    <pivotField numFmtId="170" showAll="0"/>
    <pivotField showAll="0"/>
    <pivotField numFmtId="171" showAll="0"/>
    <pivotField numFmtId="171" showAll="0"/>
    <pivotField dataField="1" numFmtId="167" showAll="0"/>
  </pivotFields>
  <rowFields count="2">
    <field x="0"/>
    <field x="1"/>
  </rowFields>
  <rowItems count="8">
    <i>
      <x/>
    </i>
    <i r="1">
      <x v="2"/>
    </i>
    <i r="1">
      <x v="3"/>
    </i>
    <i r="1">
      <x v="4"/>
    </i>
    <i>
      <x v="1"/>
    </i>
    <i>
      <x v="2"/>
    </i>
    <i r="1">
      <x v="1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Sum of PRICE" fld="10" baseField="0" baseItem="0" numFmtId="16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B78A7-77EF-4C97-83EB-7699FBAC39B5}">
  <dimension ref="A1:AO45"/>
  <sheetViews>
    <sheetView workbookViewId="0">
      <selection activeCell="M1" sqref="M1"/>
    </sheetView>
  </sheetViews>
  <sheetFormatPr defaultRowHeight="14.4" x14ac:dyDescent="0.3"/>
  <cols>
    <col min="1" max="1" width="13.109375" style="6" bestFit="1" customWidth="1"/>
    <col min="2" max="2" width="8.5546875" bestFit="1" customWidth="1"/>
    <col min="3" max="3" width="14.44140625" customWidth="1"/>
    <col min="4" max="4" width="6.21875" bestFit="1" customWidth="1"/>
    <col min="5" max="5" width="8" bestFit="1" customWidth="1"/>
    <col min="6" max="6" width="7.77734375" bestFit="1" customWidth="1"/>
    <col min="7" max="7" width="5.33203125" bestFit="1" customWidth="1"/>
    <col min="8" max="8" width="8.5546875" style="49" customWidth="1"/>
    <col min="9" max="9" width="8.5546875" style="50" bestFit="1" customWidth="1"/>
    <col min="10" max="10" width="5.88671875" bestFit="1" customWidth="1"/>
    <col min="11" max="11" width="5.88671875" customWidth="1"/>
    <col min="12" max="12" width="2.44140625" style="6" customWidth="1"/>
    <col min="13" max="13" width="14.77734375" customWidth="1"/>
    <col min="14" max="17" width="7.33203125" style="6" customWidth="1"/>
    <col min="18" max="20" width="7.33203125" customWidth="1"/>
    <col min="21" max="22" width="7.33203125" style="36" customWidth="1"/>
    <col min="23" max="26" width="7.33203125" customWidth="1"/>
    <col min="32" max="32" width="18.6640625" bestFit="1" customWidth="1"/>
    <col min="33" max="35" width="7.77734375" style="64" customWidth="1"/>
    <col min="36" max="36" width="7.77734375" style="36" customWidth="1"/>
    <col min="37" max="37" width="10.21875" bestFit="1" customWidth="1"/>
    <col min="38" max="38" width="10.21875" customWidth="1"/>
    <col min="39" max="39" width="8.88671875" style="6"/>
    <col min="41" max="41" width="12.33203125" bestFit="1" customWidth="1"/>
  </cols>
  <sheetData>
    <row r="1" spans="1:41" x14ac:dyDescent="0.3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5" t="s">
        <v>8</v>
      </c>
      <c r="J1" s="2" t="s">
        <v>9</v>
      </c>
      <c r="K1" s="6"/>
      <c r="L1" s="6">
        <v>1</v>
      </c>
      <c r="M1" s="7" t="s">
        <v>10</v>
      </c>
      <c r="N1" s="8" t="str" cm="1">
        <f t="array" ref="N1:P1">TRANSPOSE(_xlfn._xlws.SORT(_xlfn.UNIQUE(_xlfn._xlws.FILTER(MAKES,MAKES&lt;&gt;""))))</f>
        <v>AUDI</v>
      </c>
      <c r="O1" s="9" t="str">
        <v>HYUNDAI</v>
      </c>
      <c r="P1" s="9" t="str">
        <v>PEUGEOT</v>
      </c>
      <c r="Q1" s="1" t="s">
        <v>11</v>
      </c>
      <c r="R1" s="1" t="s">
        <v>12</v>
      </c>
      <c r="T1" s="10" t="s">
        <v>1</v>
      </c>
      <c r="U1" s="11" t="s">
        <v>11</v>
      </c>
      <c r="V1" s="11" t="s">
        <v>12</v>
      </c>
      <c r="AM1" s="12" t="s">
        <v>6</v>
      </c>
      <c r="AO1" s="13" t="s">
        <v>13</v>
      </c>
    </row>
    <row r="2" spans="1:41" x14ac:dyDescent="0.3">
      <c r="A2" s="14" t="s">
        <v>14</v>
      </c>
      <c r="B2" s="15" t="s">
        <v>15</v>
      </c>
      <c r="C2" s="16" t="s">
        <v>16</v>
      </c>
      <c r="D2" s="17">
        <v>73</v>
      </c>
      <c r="E2" s="18">
        <v>326</v>
      </c>
      <c r="F2" s="19">
        <v>296</v>
      </c>
      <c r="G2" s="20">
        <v>2024</v>
      </c>
      <c r="H2" s="21">
        <v>46023</v>
      </c>
      <c r="I2" s="22">
        <f t="shared" ref="I2:I10" si="0">DATE(YEAR(H2)-1,MONTH(H2),DAY(H2))</f>
        <v>45658</v>
      </c>
      <c r="J2" s="23">
        <v>20000</v>
      </c>
      <c r="K2" s="6"/>
      <c r="M2" s="24" t="str" cm="1">
        <f t="array" ref="M2:M5">_xlfn._xlws.SORT(_xlfn.UNIQUE(_xlfn._xlws.FILTER(BUSINESS,BUSINESS&lt;&gt;"")))</f>
        <v>SUPERCARS BEV</v>
      </c>
      <c r="N2" s="25" cm="1">
        <f t="array" ref="N2:P5">SUMIFS(PRICES, BUSINESS,_xlfn.ANCHORARRAY( $M2), MAKES,_xlfn.ANCHORARRAY( N$1))</f>
        <v>14000</v>
      </c>
      <c r="O2" s="25">
        <v>0</v>
      </c>
      <c r="P2" s="25">
        <v>20000</v>
      </c>
      <c r="Q2" s="25">
        <f>SUM(N2:P2)</f>
        <v>34000</v>
      </c>
      <c r="R2" s="153">
        <f>SUM(Q2:Q5)</f>
        <v>135000</v>
      </c>
      <c r="T2" s="26" t="str" cm="1">
        <f t="array" ref="T2:T4">_xlfn._xlws.SORT(_xlfn.UNIQUE(_xlfn._xlws.FILTER(MAKES,MAKES&lt;&gt;"")))</f>
        <v>AUDI</v>
      </c>
      <c r="U2" s="27">
        <f>SUMIFS(PRICES, MAKES, T2)</f>
        <v>47000</v>
      </c>
      <c r="V2" s="154">
        <f>SUM(U2:U4)</f>
        <v>135000</v>
      </c>
      <c r="AM2" s="6">
        <v>2020</v>
      </c>
      <c r="AO2" t="str" cm="1">
        <f t="array" ref="AO2:AO4">_xlfn._xlws.SORT(_xlfn.UNIQUE(_xlfn._xlws.FILTER(MAKES,BUSINESS=COMBOY)))</f>
        <v>AUDI</v>
      </c>
    </row>
    <row r="3" spans="1:41" x14ac:dyDescent="0.3">
      <c r="A3" s="14" t="s">
        <v>17</v>
      </c>
      <c r="B3" s="28" t="s">
        <v>18</v>
      </c>
      <c r="C3" s="29" t="s">
        <v>19</v>
      </c>
      <c r="D3" s="30">
        <v>77</v>
      </c>
      <c r="E3" s="31">
        <v>268</v>
      </c>
      <c r="F3" s="32">
        <v>321</v>
      </c>
      <c r="G3" s="20">
        <v>2023</v>
      </c>
      <c r="H3" s="21">
        <v>46023</v>
      </c>
      <c r="I3" s="22">
        <f t="shared" si="0"/>
        <v>45658</v>
      </c>
      <c r="J3" s="23">
        <v>18000</v>
      </c>
      <c r="K3" s="6"/>
      <c r="M3" s="24" t="str">
        <v>SUPERCARS HULL</v>
      </c>
      <c r="N3" s="25">
        <v>18000</v>
      </c>
      <c r="O3" s="25">
        <v>31000</v>
      </c>
      <c r="P3" s="25">
        <v>10000</v>
      </c>
      <c r="Q3" s="25">
        <f t="shared" ref="Q3:Q5" si="1">SUM(N3:P3)</f>
        <v>59000</v>
      </c>
      <c r="R3" s="153"/>
      <c r="T3" s="26" t="str">
        <v>HYUNDAI</v>
      </c>
      <c r="U3" s="27">
        <f>SUMIFS(PRICES, MAKES, T3)</f>
        <v>49000</v>
      </c>
      <c r="V3" s="154"/>
      <c r="AM3" s="6">
        <f>AM2+1</f>
        <v>2021</v>
      </c>
      <c r="AO3" t="str">
        <v>HYUNDAI</v>
      </c>
    </row>
    <row r="4" spans="1:41" x14ac:dyDescent="0.3">
      <c r="A4" s="14" t="s">
        <v>20</v>
      </c>
      <c r="B4" s="33" t="s">
        <v>18</v>
      </c>
      <c r="C4" s="34" t="s">
        <v>21</v>
      </c>
      <c r="D4" s="30">
        <v>73</v>
      </c>
      <c r="E4" s="35">
        <v>315</v>
      </c>
      <c r="F4" s="19">
        <v>214</v>
      </c>
      <c r="G4" s="20">
        <v>2022</v>
      </c>
      <c r="H4" s="21">
        <v>46113</v>
      </c>
      <c r="I4" s="22">
        <f t="shared" si="0"/>
        <v>45748</v>
      </c>
      <c r="J4" s="23">
        <v>16000</v>
      </c>
      <c r="K4" s="6"/>
      <c r="M4" s="24" t="str">
        <v>SUPERCARS LEEDS</v>
      </c>
      <c r="N4" s="25">
        <v>0</v>
      </c>
      <c r="O4" s="25">
        <v>18000</v>
      </c>
      <c r="P4" s="25">
        <v>0</v>
      </c>
      <c r="Q4" s="25">
        <f t="shared" si="1"/>
        <v>18000</v>
      </c>
      <c r="R4" s="153"/>
      <c r="T4" s="26" t="str">
        <v>PEUGEOT</v>
      </c>
      <c r="U4" s="27">
        <f>SUMIFS(PRICES, MAKES, T4)</f>
        <v>39000</v>
      </c>
      <c r="V4" s="154"/>
      <c r="AM4" s="6">
        <f t="shared" ref="AM4:AM8" si="2">AM3+1</f>
        <v>2022</v>
      </c>
      <c r="AO4" t="str">
        <v>PEUGEOT</v>
      </c>
    </row>
    <row r="5" spans="1:41" x14ac:dyDescent="0.3">
      <c r="A5" s="14" t="s">
        <v>22</v>
      </c>
      <c r="B5" s="28" t="s">
        <v>23</v>
      </c>
      <c r="C5" s="29" t="s">
        <v>24</v>
      </c>
      <c r="D5" s="30">
        <v>71</v>
      </c>
      <c r="E5" s="31">
        <v>194</v>
      </c>
      <c r="F5" s="32">
        <v>309</v>
      </c>
      <c r="G5" s="20">
        <v>2021</v>
      </c>
      <c r="H5" s="21">
        <v>46143</v>
      </c>
      <c r="I5" s="22">
        <f t="shared" si="0"/>
        <v>45778</v>
      </c>
      <c r="J5" s="23">
        <v>15000</v>
      </c>
      <c r="K5" s="6"/>
      <c r="M5" s="24" t="str">
        <v>SUPERCARS LINCOLN</v>
      </c>
      <c r="N5" s="25">
        <v>15000</v>
      </c>
      <c r="O5" s="25">
        <v>0</v>
      </c>
      <c r="P5" s="25">
        <v>9000</v>
      </c>
      <c r="Q5" s="25">
        <f t="shared" si="1"/>
        <v>24000</v>
      </c>
      <c r="R5" s="153"/>
      <c r="AM5" s="6">
        <f t="shared" si="2"/>
        <v>2023</v>
      </c>
    </row>
    <row r="6" spans="1:41" x14ac:dyDescent="0.3">
      <c r="A6" s="14" t="s">
        <v>20</v>
      </c>
      <c r="B6" s="28" t="s">
        <v>18</v>
      </c>
      <c r="C6" s="29" t="s">
        <v>25</v>
      </c>
      <c r="D6" s="30">
        <v>58</v>
      </c>
      <c r="E6" s="31">
        <v>238</v>
      </c>
      <c r="F6" s="32">
        <v>168</v>
      </c>
      <c r="G6" s="20">
        <v>2021</v>
      </c>
      <c r="H6" s="21">
        <v>46174</v>
      </c>
      <c r="I6" s="22">
        <f t="shared" si="0"/>
        <v>45809</v>
      </c>
      <c r="J6" s="23">
        <v>15000</v>
      </c>
      <c r="K6" s="6"/>
      <c r="M6" s="37"/>
      <c r="N6" s="38"/>
      <c r="O6" s="38"/>
      <c r="P6" s="38"/>
      <c r="Q6" s="38"/>
      <c r="R6" s="39"/>
      <c r="T6" s="40" t="str">
        <f ca="1">_xlfn.FORMULATEXT(T2)</f>
        <v>=SORT(UNIQUE(FILTER(MAKES,MAKES&lt;&gt;"")))</v>
      </c>
      <c r="AM6" s="6">
        <f t="shared" si="2"/>
        <v>2024</v>
      </c>
    </row>
    <row r="7" spans="1:41" x14ac:dyDescent="0.3">
      <c r="A7" s="14" t="s">
        <v>14</v>
      </c>
      <c r="B7" s="33" t="s">
        <v>23</v>
      </c>
      <c r="C7" s="34" t="s">
        <v>26</v>
      </c>
      <c r="D7" s="30">
        <v>55</v>
      </c>
      <c r="E7" s="35">
        <v>215</v>
      </c>
      <c r="F7" s="19">
        <v>168</v>
      </c>
      <c r="G7" s="20">
        <v>2020</v>
      </c>
      <c r="H7" s="21">
        <v>46204</v>
      </c>
      <c r="I7" s="22">
        <f t="shared" si="0"/>
        <v>45839</v>
      </c>
      <c r="J7" s="23">
        <v>14000</v>
      </c>
      <c r="K7" s="6"/>
      <c r="N7"/>
      <c r="O7"/>
      <c r="P7"/>
      <c r="Q7"/>
      <c r="T7" s="40" t="str">
        <f ca="1">_xlfn.FORMULATEXT(U2)</f>
        <v>=SUMIFS(PRICES, MAKES, T2)</v>
      </c>
      <c r="U7"/>
      <c r="V7"/>
      <c r="W7" s="40" t="str">
        <f ca="1">_xlfn.FORMULATEXT(V2)</f>
        <v>=SUM(U2:U4)</v>
      </c>
      <c r="X7" s="41"/>
      <c r="AM7" s="6">
        <f t="shared" si="2"/>
        <v>2025</v>
      </c>
    </row>
    <row r="8" spans="1:41" x14ac:dyDescent="0.3">
      <c r="A8" s="14" t="s">
        <v>22</v>
      </c>
      <c r="B8" s="28" t="s">
        <v>15</v>
      </c>
      <c r="C8" s="29" t="s">
        <v>27</v>
      </c>
      <c r="D8" s="30">
        <v>50</v>
      </c>
      <c r="E8" s="31">
        <v>232</v>
      </c>
      <c r="F8" s="32">
        <v>134</v>
      </c>
      <c r="G8" s="20">
        <v>2020</v>
      </c>
      <c r="H8" s="21">
        <v>46296</v>
      </c>
      <c r="I8" s="22">
        <f t="shared" si="0"/>
        <v>45931</v>
      </c>
      <c r="J8" s="23">
        <v>9000</v>
      </c>
      <c r="K8" s="6"/>
      <c r="L8" s="6">
        <v>2</v>
      </c>
      <c r="M8" s="155" t="s">
        <v>28</v>
      </c>
      <c r="N8" s="156" t="s">
        <v>29</v>
      </c>
      <c r="O8" s="156"/>
      <c r="P8" s="156"/>
      <c r="Q8" s="156"/>
      <c r="R8" s="1" t="s">
        <v>6</v>
      </c>
      <c r="AM8" s="6">
        <f t="shared" si="2"/>
        <v>2026</v>
      </c>
    </row>
    <row r="9" spans="1:41" x14ac:dyDescent="0.3">
      <c r="A9" s="14" t="s">
        <v>20</v>
      </c>
      <c r="B9" s="33" t="s">
        <v>15</v>
      </c>
      <c r="C9" s="34" t="s">
        <v>30</v>
      </c>
      <c r="D9" s="30">
        <v>50</v>
      </c>
      <c r="E9" s="35">
        <v>206</v>
      </c>
      <c r="F9" s="19">
        <v>136</v>
      </c>
      <c r="G9" s="20">
        <v>2021</v>
      </c>
      <c r="H9" s="21">
        <v>46327</v>
      </c>
      <c r="I9" s="22">
        <f t="shared" si="0"/>
        <v>45962</v>
      </c>
      <c r="J9" s="23">
        <v>10000</v>
      </c>
      <c r="K9" s="6"/>
      <c r="M9" s="155"/>
      <c r="N9" s="42">
        <f>DATE($R9,1,1)</f>
        <v>45658</v>
      </c>
      <c r="O9" s="42">
        <f>DATE($R9,4,1)</f>
        <v>45748</v>
      </c>
      <c r="P9" s="42">
        <f>DATE($R9,7,1)</f>
        <v>45839</v>
      </c>
      <c r="Q9" s="43">
        <f>DATE($R9,10,1)</f>
        <v>45931</v>
      </c>
      <c r="R9" s="44">
        <v>2025</v>
      </c>
      <c r="S9" s="45" t="s">
        <v>31</v>
      </c>
    </row>
    <row r="10" spans="1:41" x14ac:dyDescent="0.3">
      <c r="A10" s="14" t="s">
        <v>20</v>
      </c>
      <c r="B10" s="33" t="s">
        <v>23</v>
      </c>
      <c r="C10" s="34" t="s">
        <v>32</v>
      </c>
      <c r="D10" s="30">
        <v>95</v>
      </c>
      <c r="E10" s="35">
        <v>252</v>
      </c>
      <c r="F10" s="19">
        <v>402</v>
      </c>
      <c r="G10" s="20">
        <v>2022</v>
      </c>
      <c r="H10" s="21">
        <v>46381</v>
      </c>
      <c r="I10" s="22">
        <f t="shared" si="0"/>
        <v>46016</v>
      </c>
      <c r="J10" s="23">
        <v>18000</v>
      </c>
      <c r="K10" s="6"/>
      <c r="M10" s="155"/>
      <c r="N10" s="46">
        <f>EOMONTH(DATE($R10,3,1),0)</f>
        <v>45747</v>
      </c>
      <c r="O10" s="46">
        <f>EOMONTH(DATE($R10,6,1),0)</f>
        <v>45838</v>
      </c>
      <c r="P10" s="46">
        <f>EOMONTH(DATE($R10,9,1),0)</f>
        <v>45930</v>
      </c>
      <c r="Q10" s="47">
        <f>EOMONTH(DATE($R10,12,1),0)</f>
        <v>46022</v>
      </c>
      <c r="R10" s="48">
        <v>2025</v>
      </c>
      <c r="S10" s="45" t="s">
        <v>31</v>
      </c>
    </row>
    <row r="11" spans="1:41" ht="14.4" customHeight="1" x14ac:dyDescent="0.3">
      <c r="C11" s="36"/>
      <c r="M11" s="155"/>
      <c r="N11" s="1" t="s">
        <v>33</v>
      </c>
      <c r="O11" s="1" t="s">
        <v>34</v>
      </c>
      <c r="P11" s="1" t="s">
        <v>35</v>
      </c>
      <c r="Q11" s="1" t="s">
        <v>36</v>
      </c>
      <c r="R11" s="1" t="s">
        <v>11</v>
      </c>
      <c r="S11" s="1" t="s">
        <v>12</v>
      </c>
      <c r="W11" s="38"/>
      <c r="X11" s="41"/>
    </row>
    <row r="12" spans="1:41" ht="14.4" customHeight="1" x14ac:dyDescent="0.3">
      <c r="C12" s="157" t="s">
        <v>37</v>
      </c>
      <c r="D12" s="157"/>
      <c r="E12" s="157"/>
      <c r="F12" s="38"/>
      <c r="G12" s="38"/>
      <c r="H12" s="38"/>
      <c r="I12" s="38"/>
      <c r="J12" s="38"/>
      <c r="K12" s="38"/>
      <c r="M12" s="24" t="str" cm="1">
        <f t="array" ref="M12:M15">_xlfn._xlws.SORT(_xlfn.UNIQUE(_xlfn._xlws.FILTER(BUSINESS,BUSINESS&lt;&gt;"")))</f>
        <v>SUPERCARS BEV</v>
      </c>
      <c r="N12" s="25" cm="1">
        <f t="array" ref="N12:Q15">SUMIFS(PRICES,BUSINESS,_xlfn.ANCHORARRAY($M12),SOLD,"&gt;="&amp;QTR_S,SOLD,"&lt;="&amp;QTR_E)</f>
        <v>20000</v>
      </c>
      <c r="O12" s="25">
        <v>0</v>
      </c>
      <c r="P12" s="25">
        <v>14000</v>
      </c>
      <c r="Q12" s="25">
        <v>0</v>
      </c>
      <c r="R12" s="51">
        <f>SUM(N12:Q12)</f>
        <v>34000</v>
      </c>
      <c r="S12" s="153">
        <f>SUM(R12:R15)</f>
        <v>135000</v>
      </c>
    </row>
    <row r="13" spans="1:41" ht="14.4" customHeight="1" x14ac:dyDescent="0.3">
      <c r="C13" s="52" t="s">
        <v>38</v>
      </c>
      <c r="D13" s="53" t="str">
        <f ca="1">_xlfn.FORMULATEXT(M2)</f>
        <v>=SORT(UNIQUE(FILTER(BUSINESS,BUSINESS&lt;&gt;"")))</v>
      </c>
      <c r="E13" s="6"/>
      <c r="F13" s="6"/>
      <c r="G13" s="6"/>
      <c r="H13" s="6"/>
      <c r="I13"/>
      <c r="M13" s="24" t="str">
        <v>SUPERCARS HULL</v>
      </c>
      <c r="N13" s="25">
        <v>0</v>
      </c>
      <c r="O13" s="25">
        <v>31000</v>
      </c>
      <c r="P13" s="25">
        <v>0</v>
      </c>
      <c r="Q13" s="25">
        <v>28000</v>
      </c>
      <c r="R13" s="51">
        <f t="shared" ref="R13:R15" si="3">SUM(N13:Q13)</f>
        <v>59000</v>
      </c>
      <c r="S13" s="153"/>
    </row>
    <row r="14" spans="1:41" ht="14.4" customHeight="1" x14ac:dyDescent="0.3">
      <c r="C14" s="54" t="s">
        <v>39</v>
      </c>
      <c r="D14" s="53" t="str">
        <f ca="1">_xlfn.FORMULATEXT(N1)</f>
        <v>=TRANSPOSE(SORT(UNIQUE(FILTER(MAKES,MAKES&lt;&gt;""))))</v>
      </c>
      <c r="E14" s="6"/>
      <c r="F14" s="6"/>
      <c r="G14" s="6"/>
      <c r="H14" s="6"/>
      <c r="I14"/>
      <c r="M14" s="24" t="str">
        <v>SUPERCARS LEEDS</v>
      </c>
      <c r="N14" s="25">
        <v>18000</v>
      </c>
      <c r="O14" s="25">
        <v>0</v>
      </c>
      <c r="P14" s="25">
        <v>0</v>
      </c>
      <c r="Q14" s="25">
        <v>0</v>
      </c>
      <c r="R14" s="51">
        <f t="shared" si="3"/>
        <v>18000</v>
      </c>
      <c r="S14" s="153"/>
      <c r="W14" s="55"/>
    </row>
    <row r="15" spans="1:41" ht="14.4" customHeight="1" x14ac:dyDescent="0.3">
      <c r="C15" s="56" t="s">
        <v>40</v>
      </c>
      <c r="D15" s="53" t="str">
        <f ca="1">_xlfn.FORMULATEXT(N2)</f>
        <v>=SUMIFS(PRICES, BUSINESS, $M2#, MAKES, N$1#)</v>
      </c>
      <c r="E15" s="6"/>
      <c r="F15" s="6"/>
      <c r="G15" s="6"/>
      <c r="H15" s="57"/>
      <c r="I15"/>
      <c r="M15" s="24" t="str">
        <v>SUPERCARS LINCOLN</v>
      </c>
      <c r="N15" s="25">
        <v>0</v>
      </c>
      <c r="O15" s="25">
        <v>15000</v>
      </c>
      <c r="P15" s="25">
        <v>0</v>
      </c>
      <c r="Q15" s="25">
        <v>9000</v>
      </c>
      <c r="R15" s="51">
        <f t="shared" si="3"/>
        <v>24000</v>
      </c>
      <c r="S15" s="153"/>
      <c r="W15" s="58"/>
    </row>
    <row r="16" spans="1:41" ht="14.4" customHeight="1" x14ac:dyDescent="0.3">
      <c r="N16" s="59"/>
      <c r="O16"/>
      <c r="P16"/>
      <c r="Q16"/>
      <c r="W16" s="39"/>
      <c r="AL16" s="39"/>
    </row>
    <row r="17" spans="2:38" ht="14.4" customHeight="1" x14ac:dyDescent="0.3">
      <c r="C17" s="157" t="s">
        <v>41</v>
      </c>
      <c r="D17" s="157"/>
      <c r="E17" s="157"/>
      <c r="F17" s="161" t="s">
        <v>99</v>
      </c>
      <c r="G17" s="161"/>
      <c r="H17" s="161"/>
      <c r="I17" s="161"/>
      <c r="J17" s="161"/>
      <c r="K17" s="161"/>
      <c r="U17" s="38"/>
      <c r="V17" s="38"/>
      <c r="W17" s="39"/>
      <c r="AL17" s="39"/>
    </row>
    <row r="18" spans="2:38" ht="14.4" customHeight="1" x14ac:dyDescent="0.3">
      <c r="C18" s="37" t="s">
        <v>42</v>
      </c>
      <c r="D18" s="53" t="str">
        <f ca="1">_xlfn.FORMULATEXT(N9)</f>
        <v>=DATE($R9,1,1)</v>
      </c>
      <c r="F18" s="37" t="s">
        <v>43</v>
      </c>
      <c r="G18" s="6"/>
      <c r="H18" s="53" t="str">
        <f ca="1">_xlfn.FORMULATEXT(N10)</f>
        <v>=EOMONTH(DATE($R10,3,1),0)</v>
      </c>
      <c r="I18"/>
      <c r="L18" s="6">
        <v>3</v>
      </c>
      <c r="M18" s="158" t="s">
        <v>44</v>
      </c>
      <c r="N18" s="60">
        <f t="shared" ref="N18:Y18" si="4">N19</f>
        <v>45658</v>
      </c>
      <c r="O18" s="61">
        <f t="shared" si="4"/>
        <v>45689</v>
      </c>
      <c r="P18" s="61">
        <f t="shared" si="4"/>
        <v>45717</v>
      </c>
      <c r="Q18" s="61">
        <f t="shared" si="4"/>
        <v>45748</v>
      </c>
      <c r="R18" s="61">
        <f t="shared" si="4"/>
        <v>45778</v>
      </c>
      <c r="S18" s="61">
        <f t="shared" si="4"/>
        <v>45809</v>
      </c>
      <c r="T18" s="61">
        <f t="shared" si="4"/>
        <v>45839</v>
      </c>
      <c r="U18" s="61">
        <f t="shared" si="4"/>
        <v>45870</v>
      </c>
      <c r="V18" s="61">
        <f t="shared" si="4"/>
        <v>45901</v>
      </c>
      <c r="W18" s="61">
        <f t="shared" si="4"/>
        <v>45931</v>
      </c>
      <c r="X18" s="61">
        <f t="shared" si="4"/>
        <v>45962</v>
      </c>
      <c r="Y18" s="61">
        <f t="shared" si="4"/>
        <v>45992</v>
      </c>
      <c r="Z18" s="1" t="s">
        <v>6</v>
      </c>
      <c r="AF18" s="13" t="s">
        <v>87</v>
      </c>
      <c r="AL18" s="39"/>
    </row>
    <row r="19" spans="2:38" ht="14.4" customHeight="1" x14ac:dyDescent="0.3">
      <c r="C19" s="52" t="s">
        <v>45</v>
      </c>
      <c r="D19" s="37" t="str">
        <f ca="1">_xlfn.FORMULATEXT(M12)</f>
        <v>=SORT(UNIQUE(FILTER(BUSINESS,BUSINESS&lt;&gt;"")))</v>
      </c>
      <c r="H19"/>
      <c r="M19" s="159"/>
      <c r="N19" s="62">
        <f>DATE($Z19,1,1)</f>
        <v>45658</v>
      </c>
      <c r="O19" s="63">
        <f>DATE($Z19,2,1)</f>
        <v>45689</v>
      </c>
      <c r="P19" s="63">
        <f>DATE($Z19,3,1)</f>
        <v>45717</v>
      </c>
      <c r="Q19" s="63">
        <f>DATE($Z19,4,1)</f>
        <v>45748</v>
      </c>
      <c r="R19" s="63">
        <f>DATE($Z19,5,1)</f>
        <v>45778</v>
      </c>
      <c r="S19" s="63">
        <f>DATE($Z19,6,1)</f>
        <v>45809</v>
      </c>
      <c r="T19" s="63">
        <f>DATE($Z19,7,1)</f>
        <v>45839</v>
      </c>
      <c r="U19" s="63">
        <f>DATE($Z19,8,1)</f>
        <v>45870</v>
      </c>
      <c r="V19" s="63">
        <f>DATE($Z19,9,1)</f>
        <v>45901</v>
      </c>
      <c r="W19" s="63">
        <f>DATE($Z19,10,1)</f>
        <v>45931</v>
      </c>
      <c r="X19" s="63">
        <f>DATE($Z19,11,1)</f>
        <v>45962</v>
      </c>
      <c r="Y19" s="63">
        <f>DATE($Z19,12,1)</f>
        <v>45992</v>
      </c>
      <c r="Z19" s="44">
        <v>2025</v>
      </c>
      <c r="AF19" t="str" cm="1">
        <f t="array" ref="AF19:AJ22">_xlfn.LET(
_xlpm.A,_xlfn._xlws.SORT(_xlfn.UNIQUE(_xlfn._xlws.FILTER(BUSINESS,BUSINESS&lt;&gt;""))),
_xlpm.B,SUMIFS(PRICES, BUSINESS,_xlfn.ANCHORARRAY( M2), MAKES, N1),
_xlpm.C,SUMIFS(PRICES, BUSINESS,_xlfn.ANCHORARRAY( M2), MAKES, O1),
_xlpm.D,SUMIFS(PRICES, BUSINESS,_xlfn.ANCHORARRAY( M2), MAKES, P1),
_xlpm.E,SUM(_xlpm.B,_xlpm.C,_xlpm.D),
CHOOSE({1,2,3,4,5},_xlpm.A,_xlpm.B,_xlpm.C,_xlpm.D,_xlpm.E,F))</f>
        <v>SUPERCARS BEV</v>
      </c>
      <c r="AG19" s="64">
        <v>14000</v>
      </c>
      <c r="AH19" s="64">
        <v>0</v>
      </c>
      <c r="AI19" s="64">
        <v>20000</v>
      </c>
      <c r="AJ19" s="36">
        <v>135000</v>
      </c>
    </row>
    <row r="20" spans="2:38" ht="14.4" customHeight="1" x14ac:dyDescent="0.3">
      <c r="C20" s="56" t="s">
        <v>46</v>
      </c>
      <c r="D20" s="53" t="str">
        <f ca="1">_xlfn.FORMULATEXT(N12)</f>
        <v>=SUMIFS(PRICES,BUSINESS,$M12#,SOLD,"&gt;="&amp;QTR_S,SOLD,"&lt;="&amp;QTR_E)</v>
      </c>
      <c r="H20"/>
      <c r="I20"/>
      <c r="M20" s="159"/>
      <c r="N20" s="62">
        <f>EOMONTH(DATE($Z20,1,1),0)</f>
        <v>45688</v>
      </c>
      <c r="O20" s="63">
        <f>EOMONTH(DATE($Z20,2,1),0)</f>
        <v>45716</v>
      </c>
      <c r="P20" s="63">
        <f>EOMONTH(DATE($Z20,3,1),0)</f>
        <v>45747</v>
      </c>
      <c r="Q20" s="63">
        <f>EOMONTH(DATE($Z20,4,1),0)</f>
        <v>45777</v>
      </c>
      <c r="R20" s="63">
        <f>EOMONTH(DATE($Z20,5,1),0)</f>
        <v>45808</v>
      </c>
      <c r="S20" s="63">
        <f>EOMONTH(DATE($Z20,6,1),0)</f>
        <v>45838</v>
      </c>
      <c r="T20" s="63">
        <f>EOMONTH(DATE($Z20,7,1),0)</f>
        <v>45869</v>
      </c>
      <c r="U20" s="63">
        <f>EOMONTH(DATE($Z20,8,1),0)</f>
        <v>45900</v>
      </c>
      <c r="V20" s="63">
        <f>EOMONTH(DATE($Z20,9,1),0)</f>
        <v>45930</v>
      </c>
      <c r="W20" s="63">
        <f>EOMONTH(DATE($Z20,10,1),0)</f>
        <v>45961</v>
      </c>
      <c r="X20" s="63">
        <f>EOMONTH(DATE($Z20,11,1),0)</f>
        <v>45991</v>
      </c>
      <c r="Y20" s="63">
        <f>EOMONTH(DATE($Z20,12,1),0)</f>
        <v>46022</v>
      </c>
      <c r="Z20" s="44">
        <v>2025</v>
      </c>
      <c r="AA20" s="64"/>
      <c r="AB20" s="64"/>
      <c r="AC20" s="64"/>
      <c r="AD20" s="64"/>
      <c r="AE20" s="64"/>
      <c r="AF20" s="36" t="str">
        <v>SUPERCARS HULL</v>
      </c>
      <c r="AG20" s="64">
        <v>18000</v>
      </c>
      <c r="AH20" s="64">
        <v>31000</v>
      </c>
      <c r="AI20" s="64">
        <v>10000</v>
      </c>
      <c r="AJ20" s="36">
        <v>135000</v>
      </c>
    </row>
    <row r="21" spans="2:38" ht="14.4" customHeight="1" x14ac:dyDescent="0.3">
      <c r="C21" s="65" t="s">
        <v>47</v>
      </c>
      <c r="D21" s="53" t="s">
        <v>48</v>
      </c>
      <c r="E21" s="66" t="s">
        <v>49</v>
      </c>
      <c r="F21" s="67"/>
      <c r="G21" s="53"/>
      <c r="H21" s="53" t="s">
        <v>50</v>
      </c>
      <c r="I21" s="66" t="s">
        <v>51</v>
      </c>
      <c r="J21" s="68"/>
      <c r="K21" s="68"/>
      <c r="L21" s="69"/>
      <c r="M21" s="70" t="str" cm="1">
        <f t="array" ref="M21:M24">_xlfn._xlws.SORT(_xlfn.UNIQUE(_xlfn._xlws.FILTER(BUSINESS,BUSINESS&lt;&gt;"")))</f>
        <v>SUPERCARS BEV</v>
      </c>
      <c r="N21" s="72" cm="1">
        <f t="array" ref="N21:Y24">SUMIFS(PRICES,BUSINESS,_xlfn.ANCHORARRAY($M21),SOLD,"&gt;="&amp;MTH_START,SOLD,"&lt;="&amp;MTH_END)</f>
        <v>20000</v>
      </c>
      <c r="O21" s="72">
        <v>0</v>
      </c>
      <c r="P21" s="72">
        <v>0</v>
      </c>
      <c r="Q21" s="72">
        <v>0</v>
      </c>
      <c r="R21" s="72">
        <v>0</v>
      </c>
      <c r="S21" s="72">
        <v>0</v>
      </c>
      <c r="T21" s="72">
        <v>14000</v>
      </c>
      <c r="U21" s="72">
        <v>0</v>
      </c>
      <c r="V21" s="72">
        <v>0</v>
      </c>
      <c r="W21" s="72">
        <v>0</v>
      </c>
      <c r="X21" s="72">
        <v>0</v>
      </c>
      <c r="Y21" s="72">
        <v>0</v>
      </c>
      <c r="Z21" s="39"/>
      <c r="AA21" s="64"/>
      <c r="AB21" s="64"/>
      <c r="AC21" s="64"/>
      <c r="AD21" s="64"/>
      <c r="AE21" s="64"/>
      <c r="AF21" s="36" t="str">
        <v>SUPERCARS LEEDS</v>
      </c>
      <c r="AG21" s="64">
        <v>0</v>
      </c>
      <c r="AH21" s="64">
        <v>18000</v>
      </c>
      <c r="AI21" s="64">
        <v>0</v>
      </c>
      <c r="AJ21" s="36">
        <v>135000</v>
      </c>
    </row>
    <row r="22" spans="2:38" ht="14.4" customHeight="1" x14ac:dyDescent="0.3">
      <c r="M22" s="70" t="str">
        <v>SUPERCARS HULL</v>
      </c>
      <c r="N22" s="72">
        <v>0</v>
      </c>
      <c r="O22" s="72">
        <v>0</v>
      </c>
      <c r="P22" s="72">
        <v>0</v>
      </c>
      <c r="Q22" s="72">
        <v>16000</v>
      </c>
      <c r="R22" s="72">
        <v>0</v>
      </c>
      <c r="S22" s="72">
        <v>15000</v>
      </c>
      <c r="T22" s="72">
        <v>0</v>
      </c>
      <c r="U22" s="72">
        <v>0</v>
      </c>
      <c r="V22" s="72">
        <v>0</v>
      </c>
      <c r="W22" s="72">
        <v>0</v>
      </c>
      <c r="X22" s="72">
        <v>10000</v>
      </c>
      <c r="Y22" s="72">
        <v>18000</v>
      </c>
      <c r="Z22" s="39"/>
      <c r="AA22" s="64"/>
      <c r="AB22" s="64"/>
      <c r="AC22" s="64"/>
      <c r="AD22" s="64"/>
      <c r="AE22" s="64"/>
      <c r="AF22" s="36" t="str">
        <v>SUPERCARS LINCOLN</v>
      </c>
      <c r="AG22" s="64">
        <v>15000</v>
      </c>
      <c r="AH22" s="64">
        <v>0</v>
      </c>
      <c r="AI22" s="64">
        <v>9000</v>
      </c>
      <c r="AJ22" s="36">
        <v>135000</v>
      </c>
    </row>
    <row r="23" spans="2:38" ht="14.4" customHeight="1" x14ac:dyDescent="0.3">
      <c r="C23" s="157" t="s">
        <v>52</v>
      </c>
      <c r="D23" s="157"/>
      <c r="E23" s="157"/>
      <c r="H23" s="38"/>
      <c r="I23" s="38"/>
      <c r="J23" s="38"/>
      <c r="M23" s="70" t="str">
        <v>SUPERCARS LEEDS</v>
      </c>
      <c r="N23" s="72">
        <v>18000</v>
      </c>
      <c r="O23" s="72">
        <v>0</v>
      </c>
      <c r="P23" s="72">
        <v>0</v>
      </c>
      <c r="Q23" s="72">
        <v>0</v>
      </c>
      <c r="R23" s="72">
        <v>0</v>
      </c>
      <c r="S23" s="72">
        <v>0</v>
      </c>
      <c r="T23" s="72">
        <v>0</v>
      </c>
      <c r="U23" s="72">
        <v>0</v>
      </c>
      <c r="V23" s="72">
        <v>0</v>
      </c>
      <c r="W23" s="72">
        <v>0</v>
      </c>
      <c r="X23" s="72">
        <v>0</v>
      </c>
      <c r="Y23" s="72">
        <v>0</v>
      </c>
      <c r="Z23" s="39"/>
      <c r="AA23" s="64"/>
      <c r="AB23" s="64"/>
      <c r="AC23" s="64"/>
      <c r="AD23" s="64"/>
      <c r="AE23" s="64"/>
      <c r="AF23" s="36"/>
    </row>
    <row r="24" spans="2:38" ht="14.4" customHeight="1" x14ac:dyDescent="0.3">
      <c r="C24" s="37" t="s">
        <v>42</v>
      </c>
      <c r="D24" s="53" t="str">
        <f ca="1">_xlfn.FORMULATEXT(N19)</f>
        <v>=DATE($Z19,1,1)</v>
      </c>
      <c r="F24" s="37" t="s">
        <v>43</v>
      </c>
      <c r="G24" s="6"/>
      <c r="H24" s="53" t="str">
        <f ca="1">_xlfn.FORMULATEXT(N20)</f>
        <v>=EOMONTH(DATE($Z20,1,1),0)</v>
      </c>
      <c r="I24"/>
      <c r="M24" s="71" t="str">
        <v>SUPERCARS LINCOLN</v>
      </c>
      <c r="N24" s="73">
        <v>0</v>
      </c>
      <c r="O24" s="73">
        <v>0</v>
      </c>
      <c r="P24" s="73">
        <v>0</v>
      </c>
      <c r="Q24" s="73">
        <v>0</v>
      </c>
      <c r="R24" s="73">
        <v>15000</v>
      </c>
      <c r="S24" s="73">
        <v>0</v>
      </c>
      <c r="T24" s="73">
        <v>0</v>
      </c>
      <c r="U24" s="73">
        <v>0</v>
      </c>
      <c r="V24" s="73">
        <v>0</v>
      </c>
      <c r="W24" s="73">
        <v>9000</v>
      </c>
      <c r="X24" s="73">
        <v>0</v>
      </c>
      <c r="Y24" s="73">
        <v>0</v>
      </c>
      <c r="AA24" s="64"/>
      <c r="AB24" s="64"/>
      <c r="AC24" s="64"/>
      <c r="AD24" s="64"/>
      <c r="AE24" s="64"/>
    </row>
    <row r="25" spans="2:38" ht="14.4" customHeight="1" x14ac:dyDescent="0.3">
      <c r="C25" s="52" t="s">
        <v>45</v>
      </c>
      <c r="D25" s="37" t="str">
        <f ca="1">_xlfn.FORMULATEXT(M21)</f>
        <v>=SORT(UNIQUE(FILTER(BUSINESS,BUSINESS&lt;&gt;"")))</v>
      </c>
      <c r="H25"/>
      <c r="N25"/>
      <c r="O25"/>
      <c r="P25"/>
      <c r="Q25"/>
      <c r="Y25" s="64"/>
      <c r="Z25" s="64"/>
      <c r="AA25" s="64"/>
      <c r="AB25" s="64"/>
      <c r="AC25" s="64"/>
      <c r="AD25" s="64"/>
      <c r="AE25" s="64"/>
      <c r="AF25" s="36"/>
      <c r="AG25" s="69" t="str" cm="1">
        <f t="array" ref="AG25:AI25">_xlfn.LET(
_xlpm.array_1, TRANSPOSE(_xlfn._xlws.SORT(_xlfn.UNIQUE(_xlfn._xlws.FILTER(MAKES,MAKES&lt;&gt;"")))),
_xlpm.array_2,{""},
_xlpm.array_merged, _xlpm.array_1,
_xlpm.array_merged )</f>
        <v>AUDI</v>
      </c>
      <c r="AH25" s="118" t="str">
        <v>HYUNDAI</v>
      </c>
      <c r="AI25" s="118" t="str">
        <v>PEUGEOT</v>
      </c>
    </row>
    <row r="26" spans="2:38" ht="14.4" customHeight="1" x14ac:dyDescent="0.3">
      <c r="C26" s="56" t="s">
        <v>46</v>
      </c>
      <c r="D26" s="74" t="str">
        <f ca="1">_xlfn.FORMULATEXT(N21)</f>
        <v>=SUMIFS(PRICES,BUSINESS,$M21#,SOLD,"&gt;="&amp;MTH_START,SOLD,"&lt;="&amp;MTH_END)</v>
      </c>
      <c r="H26"/>
      <c r="I26"/>
      <c r="L26" s="6">
        <v>4</v>
      </c>
      <c r="M26" s="160" t="s">
        <v>53</v>
      </c>
      <c r="N26" s="160"/>
      <c r="O26" s="160"/>
      <c r="P26" s="160"/>
      <c r="Q26" s="160"/>
      <c r="R26" s="160"/>
      <c r="S26" s="160"/>
      <c r="T26" s="160"/>
      <c r="U26" s="160"/>
      <c r="V26" s="160"/>
      <c r="Y26" s="64"/>
      <c r="Z26" s="64"/>
      <c r="AA26" s="64"/>
      <c r="AB26" s="64"/>
      <c r="AC26" s="64"/>
      <c r="AD26" s="64"/>
      <c r="AE26" s="64"/>
      <c r="AF26" t="str" cm="1">
        <f t="array" ref="AF26:AF29">_xlfn.LET(
_xlpm.array_1, TRANSPOSE(_xlfn._xlws.SORT(_xlfn.UNIQUE(_xlfn._xlws.FILTER(MAKES,MAKES&lt;&gt;"")))),
_xlpm.array_2,_xlfn._xlws.SORT(_xlfn.UNIQUE(_xlfn._xlws.FILTER(BUSINESS,BUSINESS&lt;&gt;""))),
_xlpm.array_merged, _xlpm.array_2,
_xlpm.array_merged )</f>
        <v>SUPERCARS BEV</v>
      </c>
    </row>
    <row r="27" spans="2:38" ht="14.4" customHeight="1" x14ac:dyDescent="0.3">
      <c r="C27" s="65" t="s">
        <v>47</v>
      </c>
      <c r="D27" s="37" t="s">
        <v>62</v>
      </c>
      <c r="E27" s="37"/>
      <c r="F27" s="65" t="s">
        <v>54</v>
      </c>
      <c r="G27" s="37"/>
      <c r="H27" s="75" t="s">
        <v>61</v>
      </c>
      <c r="I27" s="65" t="s">
        <v>55</v>
      </c>
      <c r="M27" s="54" t="s">
        <v>0</v>
      </c>
      <c r="N27" s="54" t="s">
        <v>1</v>
      </c>
      <c r="Y27" s="64"/>
      <c r="Z27" s="64"/>
      <c r="AA27" s="64"/>
      <c r="AB27" s="64"/>
      <c r="AC27" s="64"/>
      <c r="AD27" s="64"/>
      <c r="AE27" s="64"/>
      <c r="AF27" t="str">
        <v>SUPERCARS HULL</v>
      </c>
    </row>
    <row r="28" spans="2:38" ht="14.4" customHeight="1" x14ac:dyDescent="0.3">
      <c r="M28" s="76" t="s">
        <v>20</v>
      </c>
      <c r="N28" s="77" t="s">
        <v>23</v>
      </c>
      <c r="O28" s="78" t="s">
        <v>31</v>
      </c>
      <c r="Y28" s="64"/>
      <c r="Z28" s="64"/>
      <c r="AA28" s="64"/>
      <c r="AB28" s="64"/>
      <c r="AC28" s="64"/>
      <c r="AD28" s="64"/>
      <c r="AE28" s="64"/>
      <c r="AF28" t="str">
        <v>SUPERCARS LEEDS</v>
      </c>
    </row>
    <row r="29" spans="2:38" ht="14.4" customHeight="1" x14ac:dyDescent="0.3">
      <c r="C29" s="157" t="s">
        <v>56</v>
      </c>
      <c r="D29" s="157"/>
      <c r="E29" s="157"/>
      <c r="M29" s="78"/>
      <c r="N29" s="78"/>
      <c r="O29" s="78"/>
      <c r="Y29" s="64"/>
      <c r="Z29" s="64"/>
      <c r="AA29" s="64"/>
      <c r="AB29" s="64"/>
      <c r="AC29" s="64"/>
      <c r="AD29" s="64"/>
      <c r="AE29" s="64"/>
      <c r="AF29" t="str">
        <v>SUPERCARS LINCOLN</v>
      </c>
    </row>
    <row r="30" spans="2:38" ht="14.4" customHeight="1" x14ac:dyDescent="0.3">
      <c r="C30" s="37" t="s">
        <v>57</v>
      </c>
      <c r="E30" s="37" t="str">
        <f ca="1">_xlfn.FORMULATEXT(M2)</f>
        <v>=SORT(UNIQUE(FILTER(BUSINESS,BUSINESS&lt;&gt;"")))</v>
      </c>
      <c r="L30" s="78" t="s">
        <v>58</v>
      </c>
      <c r="M30" s="79" t="str" cm="1">
        <f t="array" ref="M30:V30">A1:J1</f>
        <v>BUSINESS</v>
      </c>
      <c r="N30" s="79" t="str">
        <v>MAKE</v>
      </c>
      <c r="O30" s="79" t="str">
        <v>MODEL</v>
      </c>
      <c r="P30" s="79" t="str">
        <v>BAT</v>
      </c>
      <c r="Q30" s="79" t="str">
        <v>RANGE</v>
      </c>
      <c r="R30" s="79" t="str">
        <v>BHP</v>
      </c>
      <c r="S30" s="79" t="str">
        <v>YEAR</v>
      </c>
      <c r="T30" s="79" t="str">
        <v>MOT</v>
      </c>
      <c r="U30" s="80" t="str">
        <v>SOLD</v>
      </c>
      <c r="V30" s="80" t="str">
        <v>PRICE</v>
      </c>
      <c r="Y30" s="64"/>
      <c r="Z30" s="64"/>
      <c r="AA30" s="64"/>
      <c r="AB30" s="64"/>
      <c r="AC30" s="64"/>
      <c r="AD30" s="64"/>
      <c r="AE30" s="64"/>
      <c r="AF30" s="36"/>
    </row>
    <row r="31" spans="2:38" ht="14.4" customHeight="1" x14ac:dyDescent="0.3">
      <c r="C31" s="37" t="s">
        <v>59</v>
      </c>
      <c r="E31" s="53" t="str">
        <f ca="1">_xlfn.FORMULATEXT(AO2)</f>
        <v>=SORT(UNIQUE(FILTER(MAKES,BUSINESS=COMBOY)))</v>
      </c>
      <c r="L31" s="78"/>
      <c r="M31" s="68" t="str" cm="1">
        <f t="array" ref="M31:V31">_xlfn._xlws.SORT(_xlfn.UNIQUE(_xlfn._xlws.FILTER(TBLCARS,(BUSINESS=COMBOY)*
(MAKES=ComboZ),"")))</f>
        <v>SUPERCARS HULL</v>
      </c>
      <c r="N31" s="81" t="str">
        <v>AUDI</v>
      </c>
      <c r="O31" s="40" t="str">
        <v>Quattro e-TRON 55</v>
      </c>
      <c r="P31" s="81">
        <v>95</v>
      </c>
      <c r="Q31" s="81">
        <v>252</v>
      </c>
      <c r="R31" s="81">
        <v>402</v>
      </c>
      <c r="S31" s="81">
        <v>2022</v>
      </c>
      <c r="T31" s="81">
        <v>46381</v>
      </c>
      <c r="U31" s="82">
        <v>46016</v>
      </c>
      <c r="V31" s="82">
        <v>18000</v>
      </c>
      <c r="Y31" s="64"/>
      <c r="Z31" s="64"/>
      <c r="AA31" s="64"/>
      <c r="AB31" s="64"/>
      <c r="AC31" s="64"/>
      <c r="AD31" s="64"/>
      <c r="AE31" s="64"/>
      <c r="AF31" s="36"/>
    </row>
    <row r="32" spans="2:38" ht="14.4" customHeight="1" x14ac:dyDescent="0.3">
      <c r="B32" s="50"/>
      <c r="C32" s="56" t="s">
        <v>60</v>
      </c>
      <c r="D32" s="152" t="str">
        <f ca="1">_xlfn.FORMULATEXT(M31)</f>
        <v>=SORT(UNIQUE(FILTER(TBLCARS,(BUSINESS=COMBOY)*
(MAKES=ComboZ),"")))</v>
      </c>
      <c r="E32" s="152"/>
      <c r="F32" s="152"/>
      <c r="G32" s="152"/>
      <c r="H32" s="152"/>
      <c r="I32" s="152"/>
      <c r="J32" s="152"/>
      <c r="K32" s="83"/>
      <c r="M32" s="68"/>
      <c r="N32" s="81"/>
      <c r="O32" s="84"/>
      <c r="P32" s="81"/>
      <c r="Q32" s="81"/>
      <c r="R32" s="81"/>
      <c r="S32" s="81"/>
      <c r="T32" s="81"/>
      <c r="U32" s="82"/>
      <c r="V32" s="82"/>
    </row>
    <row r="33" spans="3:22" ht="14.4" customHeight="1" x14ac:dyDescent="0.3">
      <c r="C33" s="65"/>
      <c r="D33" s="152"/>
      <c r="E33" s="152"/>
      <c r="F33" s="152"/>
      <c r="G33" s="152"/>
      <c r="H33" s="152"/>
      <c r="I33" s="152"/>
      <c r="J33" s="152"/>
      <c r="K33" s="83"/>
      <c r="M33" s="69"/>
      <c r="O33" s="84"/>
      <c r="R33" s="6"/>
      <c r="S33" s="6"/>
      <c r="T33" s="6"/>
      <c r="U33" s="64"/>
      <c r="V33" s="64"/>
    </row>
    <row r="34" spans="3:22" ht="14.4" customHeight="1" x14ac:dyDescent="0.3">
      <c r="M34" s="69"/>
      <c r="O34" s="84"/>
      <c r="R34" s="6"/>
      <c r="S34" s="6"/>
      <c r="T34" s="6"/>
      <c r="U34" s="64"/>
      <c r="V34" s="64"/>
    </row>
    <row r="35" spans="3:22" x14ac:dyDescent="0.3">
      <c r="M35" s="68"/>
      <c r="N35"/>
      <c r="O35" s="40"/>
      <c r="P35"/>
      <c r="Q35"/>
    </row>
    <row r="36" spans="3:22" x14ac:dyDescent="0.3">
      <c r="M36" s="68"/>
      <c r="N36"/>
      <c r="O36"/>
      <c r="P36"/>
      <c r="Q36"/>
    </row>
    <row r="37" spans="3:22" x14ac:dyDescent="0.3">
      <c r="N37"/>
      <c r="O37"/>
      <c r="P37"/>
      <c r="Q37"/>
    </row>
    <row r="38" spans="3:22" x14ac:dyDescent="0.3">
      <c r="N38"/>
      <c r="O38"/>
      <c r="P38"/>
      <c r="Q38"/>
    </row>
    <row r="39" spans="3:22" x14ac:dyDescent="0.3">
      <c r="N39"/>
      <c r="O39"/>
      <c r="P39"/>
      <c r="Q39"/>
    </row>
    <row r="40" spans="3:22" x14ac:dyDescent="0.3">
      <c r="N40"/>
      <c r="O40"/>
      <c r="P40"/>
      <c r="Q40"/>
    </row>
    <row r="41" spans="3:22" x14ac:dyDescent="0.3">
      <c r="N41"/>
      <c r="O41"/>
      <c r="P41"/>
      <c r="Q41"/>
    </row>
    <row r="42" spans="3:22" x14ac:dyDescent="0.3">
      <c r="N42"/>
      <c r="O42"/>
      <c r="P42"/>
      <c r="Q42"/>
    </row>
    <row r="43" spans="3:22" x14ac:dyDescent="0.3">
      <c r="N43"/>
      <c r="O43"/>
      <c r="P43"/>
      <c r="Q43"/>
    </row>
    <row r="44" spans="3:22" x14ac:dyDescent="0.3">
      <c r="N44"/>
      <c r="O44"/>
      <c r="P44"/>
      <c r="Q44"/>
    </row>
    <row r="45" spans="3:22" x14ac:dyDescent="0.3">
      <c r="N45"/>
      <c r="O45"/>
      <c r="P45"/>
      <c r="Q45"/>
    </row>
  </sheetData>
  <mergeCells count="13">
    <mergeCell ref="D32:J33"/>
    <mergeCell ref="R2:R5"/>
    <mergeCell ref="V2:V4"/>
    <mergeCell ref="M8:M11"/>
    <mergeCell ref="N8:Q8"/>
    <mergeCell ref="C12:E12"/>
    <mergeCell ref="S12:S15"/>
    <mergeCell ref="C17:E17"/>
    <mergeCell ref="M18:M20"/>
    <mergeCell ref="C23:E23"/>
    <mergeCell ref="M26:V26"/>
    <mergeCell ref="C29:E29"/>
    <mergeCell ref="F17:K17"/>
  </mergeCells>
  <conditionalFormatting sqref="M31:V32">
    <cfRule type="notContainsBlanks" dxfId="6" priority="4">
      <formula>LEN(TRIM(M31))&gt;0</formula>
    </cfRule>
  </conditionalFormatting>
  <conditionalFormatting sqref="M21:Y24">
    <cfRule type="notContainsBlanks" dxfId="5" priority="2">
      <formula>LEN(TRIM(M21))&gt;0</formula>
    </cfRule>
  </conditionalFormatting>
  <conditionalFormatting sqref="N21:Y24">
    <cfRule type="cellIs" dxfId="4" priority="1" operator="equal">
      <formula>0</formula>
    </cfRule>
  </conditionalFormatting>
  <dataValidations count="3">
    <dataValidation type="list" allowBlank="1" showInputMessage="1" showErrorMessage="1" sqref="R9:R10 Z19:Z20" xr:uid="{46308BB0-F192-42CD-B57A-EC87076353DF}">
      <formula1>YR_CARS</formula1>
    </dataValidation>
    <dataValidation type="list" allowBlank="1" showInputMessage="1" showErrorMessage="1" sqref="N28" xr:uid="{F3DEDB50-A0E5-4D25-8E3E-1BCF9F6E4455}">
      <formula1>_xlfn.ANCHORARRAY(AO2)</formula1>
    </dataValidation>
    <dataValidation type="list" allowBlank="1" showInputMessage="1" showErrorMessage="1" sqref="M28" xr:uid="{ADB93619-AB9D-4624-8537-2D34B02BA70A}">
      <formula1>_xlfn.ANCHORARRAY(M2)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5C2CD-CC5C-4EFA-87F7-608491EB086B}">
  <dimension ref="A1:AF47"/>
  <sheetViews>
    <sheetView workbookViewId="0">
      <selection activeCell="C13" sqref="C13"/>
    </sheetView>
  </sheetViews>
  <sheetFormatPr defaultRowHeight="14.4" x14ac:dyDescent="0.3"/>
  <cols>
    <col min="1" max="1" width="13.5546875" style="6" bestFit="1" customWidth="1"/>
    <col min="2" max="2" width="8.5546875" bestFit="1" customWidth="1"/>
    <col min="3" max="3" width="13.5546875" bestFit="1" customWidth="1"/>
    <col min="4" max="4" width="6.33203125" bestFit="1" customWidth="1"/>
    <col min="5" max="5" width="8.109375" bestFit="1" customWidth="1"/>
    <col min="6" max="6" width="7.88671875" bestFit="1" customWidth="1"/>
    <col min="7" max="7" width="6" bestFit="1" customWidth="1"/>
    <col min="8" max="8" width="8.5546875" style="49" bestFit="1" customWidth="1"/>
    <col min="9" max="9" width="8.33203125" style="50" bestFit="1" customWidth="1"/>
    <col min="10" max="10" width="5.88671875" bestFit="1" customWidth="1"/>
    <col min="11" max="11" width="2.33203125" style="6" customWidth="1"/>
    <col min="12" max="12" width="28.109375" customWidth="1"/>
    <col min="13" max="15" width="10.5546875" style="6" bestFit="1" customWidth="1"/>
    <col min="16" max="16" width="13.109375" style="6" customWidth="1"/>
    <col min="17" max="17" width="10.21875" bestFit="1" customWidth="1"/>
    <col min="18" max="18" width="6.21875" customWidth="1"/>
    <col min="20" max="20" width="6.44140625" style="36" bestFit="1" customWidth="1"/>
    <col min="21" max="21" width="6" style="36" bestFit="1" customWidth="1"/>
    <col min="24" max="24" width="8.88671875" style="6"/>
    <col min="26" max="26" width="12.33203125" bestFit="1" customWidth="1"/>
    <col min="28" max="28" width="19.44140625" bestFit="1" customWidth="1"/>
    <col min="29" max="31" width="8.88671875" style="36"/>
    <col min="32" max="32" width="10.77734375" style="36" customWidth="1"/>
  </cols>
  <sheetData>
    <row r="1" spans="1:26" ht="14.4" customHeight="1" x14ac:dyDescent="0.3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5" t="s">
        <v>8</v>
      </c>
      <c r="J1" s="2" t="s">
        <v>9</v>
      </c>
      <c r="L1" s="7" t="s">
        <v>63</v>
      </c>
      <c r="M1" s="85" t="str" cm="1">
        <f t="array" ref="M1:O1">TRANSPOSE(_xlfn._xlws.SORT(_xlfn.UNIQUE(_xlfn._xlws.FILTER(MAKES,MAKES&lt;&gt;""))))</f>
        <v>AUDI</v>
      </c>
      <c r="N1" s="86" t="str">
        <v>HYUNDAI</v>
      </c>
      <c r="O1" s="86" t="str">
        <v>PEUGEOT</v>
      </c>
      <c r="P1" s="1" t="s">
        <v>11</v>
      </c>
      <c r="Q1" s="1" t="s">
        <v>12</v>
      </c>
      <c r="S1" s="10" t="s">
        <v>1</v>
      </c>
      <c r="T1" s="11" t="s">
        <v>11</v>
      </c>
      <c r="U1" s="11" t="s">
        <v>12</v>
      </c>
      <c r="X1" s="12" t="s">
        <v>6</v>
      </c>
      <c r="Z1" s="13" t="s">
        <v>13</v>
      </c>
    </row>
    <row r="2" spans="1:26" x14ac:dyDescent="0.3">
      <c r="A2" s="14" t="s">
        <v>64</v>
      </c>
      <c r="B2" s="15" t="s">
        <v>15</v>
      </c>
      <c r="C2" s="87" t="s">
        <v>16</v>
      </c>
      <c r="D2" s="17">
        <v>73</v>
      </c>
      <c r="E2" s="18">
        <v>326</v>
      </c>
      <c r="F2" s="19">
        <v>296</v>
      </c>
      <c r="G2" s="20">
        <v>2024</v>
      </c>
      <c r="H2" s="88">
        <v>46023</v>
      </c>
      <c r="I2" s="89">
        <f t="shared" ref="I2:I10" si="0">DATE(YEAR(H2)-1,MONTH(H2),DAY(H2))</f>
        <v>45658</v>
      </c>
      <c r="J2" s="23">
        <v>20000</v>
      </c>
      <c r="L2" s="90" t="str" cm="1">
        <f t="array" ref="L2:L5">_xlfn._xlws.SORT(_xlfn.UNIQUE(_xlfn._xlws.FILTER(BUSINESS,BUSINESS&lt;&gt;"")))</f>
        <v>SUPERCARS BEVERLEY</v>
      </c>
      <c r="M2" s="25" cm="1">
        <f t="array" ref="M2:O5">SUMIFS(PRICES, BUSINESS,_xlfn.ANCHORARRAY( $L2), MAKES,_xlfn.ANCHORARRAY( M$1))</f>
        <v>14000</v>
      </c>
      <c r="N2" s="25">
        <v>0</v>
      </c>
      <c r="O2" s="25">
        <v>20000</v>
      </c>
      <c r="P2" s="91">
        <f>SUM(M2:O2)</f>
        <v>34000</v>
      </c>
      <c r="Q2" s="153">
        <f>SUM(P2:P5)</f>
        <v>135000</v>
      </c>
      <c r="S2" s="92" t="str" cm="1">
        <f t="array" ref="S2:S4">_xlfn._xlws.SORT(_xlfn.UNIQUE(_xlfn._xlws.FILTER(MAKES,MAKES&lt;&gt;"")))</f>
        <v>AUDI</v>
      </c>
      <c r="T2" s="27">
        <f>SUMIFS(PRICES, MAKES, S2)</f>
        <v>47000</v>
      </c>
      <c r="U2" s="154">
        <f>SUM(T2:T4)</f>
        <v>135000</v>
      </c>
      <c r="X2" s="6">
        <v>2020</v>
      </c>
      <c r="Z2" t="str" cm="1">
        <f t="array" ref="Z2:Z3">_xlfn._xlws.SORT(_xlfn.UNIQUE(_xlfn._xlws.FILTER(MAKES,BUSINESS=COMBOY)))</f>
        <v>AUDI</v>
      </c>
    </row>
    <row r="3" spans="1:26" x14ac:dyDescent="0.3">
      <c r="A3" s="14" t="s">
        <v>17</v>
      </c>
      <c r="B3" s="28" t="s">
        <v>18</v>
      </c>
      <c r="C3" s="93" t="s">
        <v>19</v>
      </c>
      <c r="D3" s="30">
        <v>77</v>
      </c>
      <c r="E3" s="31">
        <v>268</v>
      </c>
      <c r="F3" s="32">
        <v>321</v>
      </c>
      <c r="G3" s="20">
        <v>2023</v>
      </c>
      <c r="H3" s="88">
        <v>46023</v>
      </c>
      <c r="I3" s="89">
        <f t="shared" si="0"/>
        <v>45658</v>
      </c>
      <c r="J3" s="23">
        <v>18000</v>
      </c>
      <c r="L3" s="90" t="str">
        <v>SUPERCARS HULL</v>
      </c>
      <c r="M3" s="25">
        <v>18000</v>
      </c>
      <c r="N3" s="25">
        <v>31000</v>
      </c>
      <c r="O3" s="25">
        <v>10000</v>
      </c>
      <c r="P3" s="91">
        <f t="shared" ref="P3:P5" si="1">SUM(M3:O3)</f>
        <v>59000</v>
      </c>
      <c r="Q3" s="153"/>
      <c r="S3" s="92" t="str">
        <v>HYUNDAI</v>
      </c>
      <c r="T3" s="27">
        <f>SUMIFS(PRICES, MAKES, S3)</f>
        <v>49000</v>
      </c>
      <c r="U3" s="154"/>
      <c r="X3" s="6">
        <f>X2+1</f>
        <v>2021</v>
      </c>
      <c r="Z3" t="str">
        <v>PEUGEOT</v>
      </c>
    </row>
    <row r="4" spans="1:26" x14ac:dyDescent="0.3">
      <c r="A4" s="14" t="s">
        <v>20</v>
      </c>
      <c r="B4" s="33" t="s">
        <v>18</v>
      </c>
      <c r="C4" s="94" t="s">
        <v>21</v>
      </c>
      <c r="D4" s="30">
        <v>73</v>
      </c>
      <c r="E4" s="35">
        <v>315</v>
      </c>
      <c r="F4" s="19">
        <v>214</v>
      </c>
      <c r="G4" s="20">
        <v>2022</v>
      </c>
      <c r="H4" s="88">
        <v>46113</v>
      </c>
      <c r="I4" s="89">
        <f t="shared" si="0"/>
        <v>45748</v>
      </c>
      <c r="J4" s="23">
        <v>16000</v>
      </c>
      <c r="L4" s="90" t="str">
        <v>SUPERCARS LEEDS</v>
      </c>
      <c r="M4" s="25">
        <v>0</v>
      </c>
      <c r="N4" s="25">
        <v>18000</v>
      </c>
      <c r="O4" s="25">
        <v>0</v>
      </c>
      <c r="P4" s="91">
        <f t="shared" si="1"/>
        <v>18000</v>
      </c>
      <c r="Q4" s="153"/>
      <c r="S4" s="92" t="str">
        <v>PEUGEOT</v>
      </c>
      <c r="T4" s="27">
        <f>SUMIFS(PRICES, MAKES, S4)</f>
        <v>39000</v>
      </c>
      <c r="U4" s="154"/>
      <c r="X4" s="6">
        <f t="shared" ref="X4:X8" si="2">X3+1</f>
        <v>2022</v>
      </c>
    </row>
    <row r="5" spans="1:26" x14ac:dyDescent="0.3">
      <c r="A5" s="14" t="s">
        <v>22</v>
      </c>
      <c r="B5" s="28" t="s">
        <v>23</v>
      </c>
      <c r="C5" s="93" t="s">
        <v>24</v>
      </c>
      <c r="D5" s="30">
        <v>71</v>
      </c>
      <c r="E5" s="31">
        <v>194</v>
      </c>
      <c r="F5" s="32">
        <v>309</v>
      </c>
      <c r="G5" s="20">
        <v>2021</v>
      </c>
      <c r="H5" s="88">
        <v>46143</v>
      </c>
      <c r="I5" s="89">
        <f t="shared" si="0"/>
        <v>45778</v>
      </c>
      <c r="J5" s="23">
        <v>15000</v>
      </c>
      <c r="L5" s="90" t="str">
        <v>SUPERCARS LINCOLN</v>
      </c>
      <c r="M5" s="25">
        <v>15000</v>
      </c>
      <c r="N5" s="25">
        <v>0</v>
      </c>
      <c r="O5" s="25">
        <v>9000</v>
      </c>
      <c r="P5" s="91">
        <f t="shared" si="1"/>
        <v>24000</v>
      </c>
      <c r="Q5" s="153"/>
      <c r="X5" s="6">
        <f t="shared" si="2"/>
        <v>2023</v>
      </c>
    </row>
    <row r="6" spans="1:26" x14ac:dyDescent="0.3">
      <c r="A6" s="14" t="s">
        <v>20</v>
      </c>
      <c r="B6" s="28" t="s">
        <v>18</v>
      </c>
      <c r="C6" s="93" t="s">
        <v>25</v>
      </c>
      <c r="D6" s="30">
        <v>58</v>
      </c>
      <c r="E6" s="31">
        <v>238</v>
      </c>
      <c r="F6" s="32">
        <v>168</v>
      </c>
      <c r="G6" s="20">
        <v>2021</v>
      </c>
      <c r="H6" s="88">
        <v>46174</v>
      </c>
      <c r="I6" s="89">
        <f t="shared" si="0"/>
        <v>45809</v>
      </c>
      <c r="J6" s="23">
        <v>15000</v>
      </c>
      <c r="L6" s="37"/>
      <c r="M6" s="38"/>
      <c r="N6" s="38"/>
      <c r="O6" s="38"/>
      <c r="P6" s="38"/>
      <c r="Q6" s="39"/>
      <c r="X6" s="6">
        <f t="shared" si="2"/>
        <v>2024</v>
      </c>
    </row>
    <row r="7" spans="1:26" x14ac:dyDescent="0.3">
      <c r="A7" s="14" t="s">
        <v>64</v>
      </c>
      <c r="B7" s="33" t="s">
        <v>23</v>
      </c>
      <c r="C7" s="94" t="s">
        <v>26</v>
      </c>
      <c r="D7" s="30">
        <v>55</v>
      </c>
      <c r="E7" s="35">
        <v>215</v>
      </c>
      <c r="F7" s="19">
        <v>168</v>
      </c>
      <c r="G7" s="20">
        <v>2020</v>
      </c>
      <c r="H7" s="88">
        <v>46204</v>
      </c>
      <c r="I7" s="89">
        <f t="shared" si="0"/>
        <v>45839</v>
      </c>
      <c r="J7" s="23">
        <v>14000</v>
      </c>
      <c r="L7" s="95" t="s">
        <v>65</v>
      </c>
      <c r="M7" s="38"/>
      <c r="N7" s="38"/>
      <c r="O7" s="38"/>
      <c r="P7" s="38"/>
      <c r="Q7" s="38"/>
      <c r="R7" s="38"/>
      <c r="S7" s="38"/>
      <c r="T7" s="38"/>
      <c r="U7" s="38"/>
      <c r="V7" s="38"/>
      <c r="X7" s="6">
        <f t="shared" si="2"/>
        <v>2025</v>
      </c>
    </row>
    <row r="8" spans="1:26" x14ac:dyDescent="0.3">
      <c r="A8" s="14" t="s">
        <v>22</v>
      </c>
      <c r="B8" s="28" t="s">
        <v>15</v>
      </c>
      <c r="C8" s="93" t="s">
        <v>27</v>
      </c>
      <c r="D8" s="30">
        <v>50</v>
      </c>
      <c r="E8" s="31">
        <v>232</v>
      </c>
      <c r="F8" s="32">
        <v>134</v>
      </c>
      <c r="G8" s="20">
        <v>2020</v>
      </c>
      <c r="H8" s="88">
        <v>46296</v>
      </c>
      <c r="I8" s="89">
        <f t="shared" si="0"/>
        <v>45931</v>
      </c>
      <c r="J8" s="23">
        <v>9000</v>
      </c>
      <c r="L8" s="52" t="s">
        <v>66</v>
      </c>
      <c r="M8" s="53" t="str">
        <f ca="1">_xlfn.FORMULATEXT(L2)</f>
        <v>=SORT(UNIQUE(FILTER(BUSINESS,BUSINESS&lt;&gt;"")))</v>
      </c>
      <c r="Q8" s="6" t="s">
        <v>67</v>
      </c>
      <c r="S8" s="40" t="str">
        <f ca="1">_xlfn.FORMULATEXT(S2)</f>
        <v>=SORT(UNIQUE(FILTER(MAKES,MAKES&lt;&gt;"")))</v>
      </c>
      <c r="X8" s="6">
        <f t="shared" si="2"/>
        <v>2026</v>
      </c>
    </row>
    <row r="9" spans="1:26" x14ac:dyDescent="0.3">
      <c r="A9" s="14" t="s">
        <v>20</v>
      </c>
      <c r="B9" s="33" t="s">
        <v>15</v>
      </c>
      <c r="C9" s="94" t="s">
        <v>30</v>
      </c>
      <c r="D9" s="30">
        <v>50</v>
      </c>
      <c r="E9" s="35">
        <v>206</v>
      </c>
      <c r="F9" s="19">
        <v>136</v>
      </c>
      <c r="G9" s="20">
        <v>2021</v>
      </c>
      <c r="H9" s="88">
        <v>46327</v>
      </c>
      <c r="I9" s="89">
        <f t="shared" si="0"/>
        <v>45962</v>
      </c>
      <c r="J9" s="23">
        <v>10000</v>
      </c>
      <c r="L9" s="54" t="s">
        <v>68</v>
      </c>
      <c r="M9" s="53" t="str">
        <f ca="1">_xlfn.FORMULATEXT(M1)</f>
        <v>=TRANSPOSE(SORT(UNIQUE(FILTER(MAKES,MAKES&lt;&gt;""))))</v>
      </c>
      <c r="Q9" s="6" t="s">
        <v>69</v>
      </c>
      <c r="S9" s="40" t="str">
        <f ca="1">_xlfn.FORMULATEXT(T2)</f>
        <v>=SUMIFS(PRICES, MAKES, S2)</v>
      </c>
    </row>
    <row r="10" spans="1:26" x14ac:dyDescent="0.3">
      <c r="A10" s="14" t="s">
        <v>20</v>
      </c>
      <c r="B10" s="33" t="s">
        <v>23</v>
      </c>
      <c r="C10" s="94" t="s">
        <v>32</v>
      </c>
      <c r="D10" s="30">
        <v>95</v>
      </c>
      <c r="E10" s="35">
        <v>252</v>
      </c>
      <c r="F10" s="19">
        <v>402</v>
      </c>
      <c r="G10" s="20">
        <v>2022</v>
      </c>
      <c r="H10" s="88">
        <v>46381</v>
      </c>
      <c r="I10" s="89">
        <f t="shared" si="0"/>
        <v>46016</v>
      </c>
      <c r="J10" s="23">
        <v>18000</v>
      </c>
      <c r="L10" s="56" t="s">
        <v>70</v>
      </c>
      <c r="M10" s="53" t="str">
        <f ca="1">_xlfn.FORMULATEXT(M2)</f>
        <v>=SUMIFS(PRICES, BUSINESS, $L2#, MAKES, M$1#)</v>
      </c>
      <c r="Q10" s="57" t="s">
        <v>71</v>
      </c>
      <c r="S10" s="40" t="str">
        <f ca="1">_xlfn.FORMULATEXT(U2)</f>
        <v>=SUM(T2:T4)</v>
      </c>
    </row>
    <row r="11" spans="1:26" ht="14.4" customHeight="1" x14ac:dyDescent="0.3">
      <c r="C11" s="36"/>
      <c r="M11" s="38"/>
      <c r="N11" s="38"/>
      <c r="O11" s="38"/>
      <c r="P11" s="38"/>
      <c r="Q11" s="38"/>
      <c r="R11" s="38"/>
      <c r="S11" s="38"/>
      <c r="T11" s="38"/>
      <c r="U11" s="38"/>
      <c r="V11" s="38"/>
    </row>
    <row r="12" spans="1:26" ht="14.4" customHeight="1" x14ac:dyDescent="0.3">
      <c r="C12" s="96" t="s">
        <v>0</v>
      </c>
      <c r="D12" s="97" t="str" cm="1">
        <f t="array" ref="D12:F12">_xlfn.ANCHORARRAY(M1)</f>
        <v>AUDI</v>
      </c>
      <c r="E12" s="98" t="str">
        <v>HYUNDAI</v>
      </c>
      <c r="F12" s="98" t="str">
        <v>PEUGEOT</v>
      </c>
      <c r="G12" s="98" t="s">
        <v>72</v>
      </c>
      <c r="H12" s="63" t="s">
        <v>12</v>
      </c>
      <c r="M12"/>
      <c r="N12"/>
      <c r="O12"/>
      <c r="P12"/>
      <c r="T12"/>
      <c r="U12"/>
    </row>
    <row r="13" spans="1:26" ht="14.4" customHeight="1" x14ac:dyDescent="0.3">
      <c r="C13" s="26" t="str" cm="1">
        <f t="array" ref="C13:G16">_xlfn.LET(
_xlpm.A,_xlfn._xlws.SORT(_xlfn.UNIQUE(_xlfn._xlws.FILTER(BUSINESS,BUSINESS&lt;&gt;""))),
_xlpm.B,SUMIFS(PRICES, BUSINESS,_xlfn.ANCHORARRAY( L2), MAKES, M1),
_xlpm.C,SUMIFS(PRICES, BUSINESS,_xlfn.ANCHORARRAY( L2), MAKES, N1),
_xlpm.D,SUMIFS(PRICES, BUSINESS,_xlfn.ANCHORARRAY( L2), MAKES, O1),
_xlpm.E,SUM(_xlpm.B,_xlpm.C,_xlpm.D),
CHOOSE({1,2,3,4,5},_xlpm.A,_xlpm.B,_xlpm.C,_xlpm.D,_xlpm.E,F))</f>
        <v>SUPERCARS BEVERLEY</v>
      </c>
      <c r="D13" s="27">
        <v>14000</v>
      </c>
      <c r="E13" s="27">
        <v>0</v>
      </c>
      <c r="F13" s="27">
        <v>20000</v>
      </c>
      <c r="G13" s="99">
        <v>135000</v>
      </c>
      <c r="H13" s="162" t="s">
        <v>73</v>
      </c>
      <c r="L13" s="155" t="s">
        <v>28</v>
      </c>
      <c r="M13" s="156" t="s">
        <v>74</v>
      </c>
      <c r="N13" s="156"/>
      <c r="O13" s="156"/>
      <c r="P13" s="156"/>
      <c r="Q13" s="1" t="s">
        <v>75</v>
      </c>
    </row>
    <row r="14" spans="1:26" ht="14.4" customHeight="1" x14ac:dyDescent="0.3">
      <c r="C14" s="26" t="str">
        <v>SUPERCARS HULL</v>
      </c>
      <c r="D14" s="27">
        <v>18000</v>
      </c>
      <c r="E14" s="27">
        <v>31000</v>
      </c>
      <c r="F14" s="27">
        <v>10000</v>
      </c>
      <c r="G14" s="99">
        <v>135000</v>
      </c>
      <c r="H14" s="163"/>
      <c r="L14" s="155"/>
      <c r="M14" s="100">
        <f>DATE($Q14,1,1)</f>
        <v>45658</v>
      </c>
      <c r="N14" s="100">
        <f>DATE($Q14,4,1)</f>
        <v>45748</v>
      </c>
      <c r="O14" s="100">
        <f>DATE($Q14,7,1)</f>
        <v>45839</v>
      </c>
      <c r="P14" s="101">
        <f>DATE($Q14,10,1)</f>
        <v>45931</v>
      </c>
      <c r="Q14" s="44">
        <v>2025</v>
      </c>
      <c r="R14" s="45" t="s">
        <v>31</v>
      </c>
      <c r="V14" s="55"/>
      <c r="W14" s="55"/>
    </row>
    <row r="15" spans="1:26" ht="14.4" customHeight="1" x14ac:dyDescent="0.3">
      <c r="C15" s="26" t="str">
        <v>SUPERCARS LEEDS</v>
      </c>
      <c r="D15" s="27">
        <v>0</v>
      </c>
      <c r="E15" s="27">
        <v>18000</v>
      </c>
      <c r="F15" s="27">
        <v>0</v>
      </c>
      <c r="G15" s="99">
        <v>135000</v>
      </c>
      <c r="H15" s="163"/>
      <c r="L15" s="155"/>
      <c r="M15" s="102">
        <f>EOMONTH(DATE($Q15,3,1),0)</f>
        <v>45747</v>
      </c>
      <c r="N15" s="102">
        <f>EOMONTH(DATE($Q15,6,1),0)</f>
        <v>45838</v>
      </c>
      <c r="O15" s="102">
        <f>EOMONTH(DATE($Q15,9,1),0)</f>
        <v>45930</v>
      </c>
      <c r="P15" s="103">
        <f>EOMONTH(DATE($Q15,12,1),0)</f>
        <v>46022</v>
      </c>
      <c r="Q15" s="48">
        <v>2025</v>
      </c>
      <c r="R15" s="45" t="s">
        <v>31</v>
      </c>
      <c r="V15" s="58"/>
      <c r="W15" s="58"/>
    </row>
    <row r="16" spans="1:26" ht="14.4" customHeight="1" x14ac:dyDescent="0.3">
      <c r="C16" s="26" t="str">
        <v>SUPERCARS LINCOLN</v>
      </c>
      <c r="D16" s="27">
        <v>15000</v>
      </c>
      <c r="E16" s="27">
        <v>0</v>
      </c>
      <c r="F16" s="27">
        <v>9000</v>
      </c>
      <c r="G16" s="99">
        <v>135000</v>
      </c>
      <c r="H16" s="164"/>
      <c r="L16" s="155"/>
      <c r="M16" s="1" t="s">
        <v>33</v>
      </c>
      <c r="N16" s="1" t="s">
        <v>34</v>
      </c>
      <c r="O16" s="1" t="s">
        <v>35</v>
      </c>
      <c r="P16" s="1" t="s">
        <v>36</v>
      </c>
      <c r="Q16" s="1" t="s">
        <v>11</v>
      </c>
      <c r="R16" s="1" t="s">
        <v>12</v>
      </c>
      <c r="V16" s="39"/>
      <c r="W16" s="39"/>
    </row>
    <row r="17" spans="2:23" ht="14.4" customHeight="1" x14ac:dyDescent="0.3">
      <c r="C17" s="104"/>
      <c r="D17" s="105"/>
      <c r="E17" s="105"/>
      <c r="F17" s="105"/>
      <c r="G17" s="105"/>
      <c r="H17" s="106"/>
      <c r="L17" s="90" t="str" cm="1">
        <f t="array" ref="L17:L20">_xlfn._xlws.SORT(_xlfn.UNIQUE(_xlfn._xlws.FILTER(BUSINESS,BUSINESS&lt;&gt;"")))</f>
        <v>SUPERCARS BEVERLEY</v>
      </c>
      <c r="M17" s="25" cm="1">
        <f t="array" ref="M17:P20">SUMIFS(PRICES,BUSINESS,_xlfn.ANCHORARRAY($L17),SOLD,"&gt;="&amp;QTR_S,SOLD,"&lt;="&amp;QTR_E)</f>
        <v>20000</v>
      </c>
      <c r="N17" s="25">
        <v>0</v>
      </c>
      <c r="O17" s="25">
        <v>14000</v>
      </c>
      <c r="P17" s="25">
        <v>0</v>
      </c>
      <c r="Q17" s="91">
        <f>SUM(M17:P17)</f>
        <v>34000</v>
      </c>
      <c r="R17" s="153">
        <f>SUM(Q17:Q20)</f>
        <v>135000</v>
      </c>
      <c r="V17" s="39"/>
      <c r="W17" s="39"/>
    </row>
    <row r="18" spans="2:23" ht="14.4" customHeight="1" x14ac:dyDescent="0.3">
      <c r="C18" s="165" t="str">
        <f ca="1">_xlfn.FORMULATEXT((M1))</f>
        <v>=TRANSPOSE(SORT(UNIQUE(FILTER(MAKES,MAKES&lt;&gt;""))))</v>
      </c>
      <c r="D18" s="166"/>
      <c r="E18" s="166"/>
      <c r="F18" s="166"/>
      <c r="G18" s="166"/>
      <c r="H18" s="167"/>
      <c r="I18" s="50" t="s">
        <v>76</v>
      </c>
      <c r="L18" s="90" t="str">
        <v>SUPERCARS HULL</v>
      </c>
      <c r="M18" s="25">
        <v>0</v>
      </c>
      <c r="N18" s="25">
        <v>31000</v>
      </c>
      <c r="O18" s="25">
        <v>0</v>
      </c>
      <c r="P18" s="25">
        <v>28000</v>
      </c>
      <c r="Q18" s="91">
        <f t="shared" ref="Q18:Q20" si="3">SUM(M18:P18)</f>
        <v>59000</v>
      </c>
      <c r="R18" s="153"/>
      <c r="V18" s="39"/>
      <c r="W18" s="39"/>
    </row>
    <row r="19" spans="2:23" ht="14.4" customHeight="1" x14ac:dyDescent="0.3">
      <c r="C19" s="168" t="str">
        <f ca="1">_xlfn.FORMULATEXT(C13)</f>
        <v>=LET(
A,SORT(UNIQUE(FILTER(BUSINESS,BUSINESS&lt;&gt;""))),
B,SUMIFS(PRICES, BUSINESS, L2#, MAKES, M1),
C,SUMIFS(PRICES, BUSINESS, L2#, MAKES, N1),
D,SUMIFS(PRICES, BUSINESS, L2#, MAKES, O1),
E,SUM(B,C,D),
CHOOSE({1,2,3,4,5},A,B,C,D,E,F))</v>
      </c>
      <c r="D19" s="168"/>
      <c r="E19" s="168"/>
      <c r="F19" s="168"/>
      <c r="G19" s="168"/>
      <c r="H19" s="168"/>
      <c r="I19" s="50" t="s">
        <v>77</v>
      </c>
      <c r="L19" s="90" t="str">
        <v>SUPERCARS LEEDS</v>
      </c>
      <c r="M19" s="25">
        <v>18000</v>
      </c>
      <c r="N19" s="25">
        <v>0</v>
      </c>
      <c r="O19" s="25">
        <v>0</v>
      </c>
      <c r="P19" s="25">
        <v>0</v>
      </c>
      <c r="Q19" s="91">
        <f t="shared" si="3"/>
        <v>18000</v>
      </c>
      <c r="R19" s="153"/>
    </row>
    <row r="20" spans="2:23" ht="14.4" customHeight="1" x14ac:dyDescent="0.3">
      <c r="C20" s="168"/>
      <c r="D20" s="168"/>
      <c r="E20" s="168"/>
      <c r="F20" s="168"/>
      <c r="G20" s="168"/>
      <c r="H20" s="168"/>
      <c r="L20" s="90" t="str">
        <v>SUPERCARS LINCOLN</v>
      </c>
      <c r="M20" s="25">
        <v>0</v>
      </c>
      <c r="N20" s="25">
        <v>15000</v>
      </c>
      <c r="O20" s="25">
        <v>0</v>
      </c>
      <c r="P20" s="25">
        <v>9000</v>
      </c>
      <c r="Q20" s="91">
        <f t="shared" si="3"/>
        <v>24000</v>
      </c>
      <c r="R20" s="153"/>
    </row>
    <row r="21" spans="2:23" ht="14.4" customHeight="1" x14ac:dyDescent="0.3">
      <c r="C21" s="168"/>
      <c r="D21" s="168"/>
      <c r="E21" s="168"/>
      <c r="F21" s="168"/>
      <c r="G21" s="168"/>
      <c r="H21" s="168"/>
      <c r="M21"/>
      <c r="N21"/>
      <c r="O21"/>
      <c r="P21"/>
    </row>
    <row r="22" spans="2:23" ht="14.4" customHeight="1" x14ac:dyDescent="0.3">
      <c r="C22" s="168"/>
      <c r="D22" s="168"/>
      <c r="E22" s="168"/>
      <c r="F22" s="168"/>
      <c r="G22" s="168"/>
      <c r="H22" s="168"/>
      <c r="L22" s="95" t="s">
        <v>65</v>
      </c>
      <c r="M22" s="38"/>
      <c r="N22" s="38"/>
      <c r="O22" s="38"/>
      <c r="P22" s="38"/>
      <c r="Q22" s="38"/>
      <c r="R22" s="38"/>
      <c r="S22" s="38"/>
      <c r="T22" s="38"/>
      <c r="U22" s="38"/>
      <c r="V22" s="38"/>
    </row>
    <row r="23" spans="2:23" ht="14.4" customHeight="1" x14ac:dyDescent="0.3">
      <c r="C23" s="168"/>
      <c r="D23" s="168"/>
      <c r="E23" s="168"/>
      <c r="F23" s="168"/>
      <c r="G23" s="168"/>
      <c r="H23" s="168"/>
      <c r="L23" s="37" t="s">
        <v>78</v>
      </c>
      <c r="M23" s="37" t="str">
        <f ca="1">_xlfn.FORMULATEXT(M14)</f>
        <v>=DATE($Q14,1,1)</v>
      </c>
      <c r="N23"/>
      <c r="O23" s="37" t="s">
        <v>79</v>
      </c>
      <c r="Q23" s="37" t="str">
        <f ca="1">_xlfn.FORMULATEXT(M15)</f>
        <v>=EOMONTH(DATE($Q15,3,1),0)</v>
      </c>
    </row>
    <row r="24" spans="2:23" ht="14.4" customHeight="1" x14ac:dyDescent="0.3">
      <c r="C24" s="168"/>
      <c r="D24" s="168"/>
      <c r="E24" s="168"/>
      <c r="F24" s="168"/>
      <c r="G24" s="168"/>
      <c r="H24" s="168"/>
      <c r="L24" s="52" t="s">
        <v>45</v>
      </c>
      <c r="M24" s="37" t="str">
        <f ca="1">_xlfn.FORMULATEXT(L17)</f>
        <v>=SORT(UNIQUE(FILTER(BUSINESS,BUSINESS&lt;&gt;"")))</v>
      </c>
      <c r="N24"/>
      <c r="O24"/>
      <c r="P24"/>
      <c r="R24" t="s">
        <v>80</v>
      </c>
    </row>
    <row r="25" spans="2:23" ht="14.4" customHeight="1" x14ac:dyDescent="0.3">
      <c r="C25" s="168"/>
      <c r="D25" s="168"/>
      <c r="E25" s="168"/>
      <c r="F25" s="168"/>
      <c r="G25" s="168"/>
      <c r="H25" s="168"/>
      <c r="L25" s="56" t="s">
        <v>46</v>
      </c>
      <c r="M25" s="37" t="str">
        <f ca="1">_xlfn.FORMULATEXT(M17)</f>
        <v>=SUMIFS(PRICES,BUSINESS,$L17#,SOLD,"&gt;="&amp;QTR_S,SOLD,"&lt;="&amp;QTR_E)</v>
      </c>
      <c r="N25"/>
      <c r="O25"/>
      <c r="P25"/>
    </row>
    <row r="26" spans="2:23" ht="14.4" customHeight="1" x14ac:dyDescent="0.3">
      <c r="M26"/>
      <c r="N26"/>
      <c r="O26"/>
      <c r="P26"/>
    </row>
    <row r="27" spans="2:23" ht="14.4" customHeight="1" x14ac:dyDescent="0.3">
      <c r="C27" s="107"/>
      <c r="M27"/>
      <c r="N27"/>
      <c r="O27"/>
      <c r="P27"/>
    </row>
    <row r="28" spans="2:23" ht="14.4" customHeight="1" x14ac:dyDescent="0.3">
      <c r="L28" s="160" t="s">
        <v>53</v>
      </c>
      <c r="M28" s="160"/>
      <c r="N28" s="160"/>
      <c r="O28" s="160"/>
      <c r="P28" s="160"/>
      <c r="Q28" s="160"/>
      <c r="R28" s="160"/>
      <c r="S28" s="160"/>
      <c r="T28" s="160"/>
      <c r="U28" s="160"/>
    </row>
    <row r="29" spans="2:23" ht="14.4" customHeight="1" x14ac:dyDescent="0.3">
      <c r="L29" s="54" t="s">
        <v>0</v>
      </c>
      <c r="M29" s="54" t="s">
        <v>1</v>
      </c>
    </row>
    <row r="30" spans="2:23" ht="14.4" customHeight="1" x14ac:dyDescent="0.3">
      <c r="C30" s="107"/>
      <c r="K30" s="78" t="s">
        <v>58</v>
      </c>
      <c r="L30" s="77" t="s">
        <v>22</v>
      </c>
      <c r="M30" s="77" t="s">
        <v>23</v>
      </c>
      <c r="N30" s="78" t="s">
        <v>31</v>
      </c>
    </row>
    <row r="31" spans="2:23" ht="14.4" customHeight="1" x14ac:dyDescent="0.3">
      <c r="C31" s="107"/>
      <c r="K31" s="78"/>
      <c r="L31" s="78"/>
      <c r="M31" s="78"/>
      <c r="N31" s="78"/>
    </row>
    <row r="32" spans="2:23" ht="14.4" customHeight="1" x14ac:dyDescent="0.3">
      <c r="B32" s="50"/>
      <c r="L32" s="79" t="str" cm="1">
        <f t="array" ref="L32:U32">A1:J1</f>
        <v>BUSINESS</v>
      </c>
      <c r="M32" s="79" t="str">
        <v>MAKE</v>
      </c>
      <c r="N32" s="79" t="str">
        <v>MODEL</v>
      </c>
      <c r="O32" s="79" t="str">
        <v>BAT</v>
      </c>
      <c r="P32" s="79" t="str">
        <v>RANGE</v>
      </c>
      <c r="Q32" s="79" t="str">
        <v>BHP</v>
      </c>
      <c r="R32" s="79" t="str">
        <v>YEAR</v>
      </c>
      <c r="S32" s="79" t="str">
        <v>MOT</v>
      </c>
      <c r="T32" s="80" t="str">
        <v>SOLD</v>
      </c>
      <c r="U32" s="80" t="str">
        <v>PRICE</v>
      </c>
    </row>
    <row r="33" spans="3:21" ht="14.4" customHeight="1" x14ac:dyDescent="0.3">
      <c r="C33" s="107"/>
      <c r="H33" s="108"/>
      <c r="L33" s="67" t="str" cm="1">
        <f t="array" ref="L33:U33">_xlfn._xlws.SORT(_xlfn.UNIQUE(_xlfn._xlws.FILTER(TBLCARS,(BUSINESS=COMBOY)*(MAKES=ComboZ),"")))</f>
        <v>SUPERCARS LINCOLN</v>
      </c>
      <c r="M33" s="81" t="str">
        <v>AUDI</v>
      </c>
      <c r="N33" s="40" t="str">
        <v>Quattro e-TRON 50</v>
      </c>
      <c r="O33" s="81">
        <v>71</v>
      </c>
      <c r="P33" s="81">
        <v>194</v>
      </c>
      <c r="Q33" s="81">
        <v>309</v>
      </c>
      <c r="R33" s="81">
        <v>2021</v>
      </c>
      <c r="S33" s="81">
        <v>46143</v>
      </c>
      <c r="T33" s="82">
        <v>45778</v>
      </c>
      <c r="U33" s="82">
        <v>15000</v>
      </c>
    </row>
    <row r="34" spans="3:21" ht="14.4" customHeight="1" x14ac:dyDescent="0.3">
      <c r="L34" s="67"/>
      <c r="M34" s="81"/>
      <c r="N34" s="84"/>
      <c r="O34" s="81"/>
      <c r="P34" s="81"/>
      <c r="Q34" s="81"/>
      <c r="R34" s="81"/>
      <c r="S34" s="81"/>
      <c r="T34" s="82"/>
      <c r="U34" s="82"/>
    </row>
    <row r="35" spans="3:21" x14ac:dyDescent="0.3">
      <c r="L35" s="6"/>
      <c r="N35" s="84"/>
      <c r="Q35" s="6"/>
      <c r="R35" s="6"/>
      <c r="S35" s="6"/>
      <c r="T35" s="64"/>
      <c r="U35" s="64"/>
    </row>
    <row r="36" spans="3:21" x14ac:dyDescent="0.3">
      <c r="L36" s="6"/>
      <c r="N36" s="84"/>
      <c r="Q36" s="6"/>
      <c r="R36" s="6"/>
      <c r="S36" s="6"/>
      <c r="T36" s="64"/>
      <c r="U36" s="64"/>
    </row>
    <row r="37" spans="3:21" x14ac:dyDescent="0.3">
      <c r="M37"/>
      <c r="N37" s="40"/>
      <c r="O37"/>
      <c r="P37"/>
    </row>
    <row r="38" spans="3:21" x14ac:dyDescent="0.3">
      <c r="M38"/>
      <c r="N38"/>
      <c r="O38"/>
      <c r="P38"/>
    </row>
    <row r="39" spans="3:21" x14ac:dyDescent="0.3">
      <c r="M39"/>
      <c r="N39"/>
      <c r="O39"/>
      <c r="P39"/>
    </row>
    <row r="40" spans="3:21" x14ac:dyDescent="0.3">
      <c r="M40"/>
      <c r="N40"/>
      <c r="O40"/>
      <c r="P40"/>
    </row>
    <row r="41" spans="3:21" x14ac:dyDescent="0.3">
      <c r="M41"/>
      <c r="N41"/>
      <c r="O41"/>
      <c r="P41"/>
    </row>
    <row r="42" spans="3:21" x14ac:dyDescent="0.3">
      <c r="M42"/>
      <c r="N42"/>
      <c r="O42"/>
      <c r="P42"/>
    </row>
    <row r="43" spans="3:21" x14ac:dyDescent="0.3">
      <c r="M43"/>
      <c r="N43"/>
      <c r="O43"/>
      <c r="P43"/>
    </row>
    <row r="44" spans="3:21" x14ac:dyDescent="0.3">
      <c r="M44"/>
      <c r="N44"/>
      <c r="O44"/>
      <c r="P44"/>
    </row>
    <row r="45" spans="3:21" x14ac:dyDescent="0.3">
      <c r="M45"/>
      <c r="N45"/>
      <c r="O45"/>
      <c r="P45"/>
    </row>
    <row r="46" spans="3:21" x14ac:dyDescent="0.3">
      <c r="M46"/>
      <c r="N46"/>
      <c r="O46"/>
      <c r="P46"/>
    </row>
    <row r="47" spans="3:21" x14ac:dyDescent="0.3">
      <c r="M47"/>
      <c r="N47"/>
      <c r="O47"/>
      <c r="P47"/>
    </row>
  </sheetData>
  <mergeCells count="9">
    <mergeCell ref="L28:U28"/>
    <mergeCell ref="Q2:Q5"/>
    <mergeCell ref="U2:U4"/>
    <mergeCell ref="H13:H16"/>
    <mergeCell ref="L13:L16"/>
    <mergeCell ref="M13:P13"/>
    <mergeCell ref="R17:R20"/>
    <mergeCell ref="C18:H18"/>
    <mergeCell ref="C19:H25"/>
  </mergeCells>
  <conditionalFormatting sqref="L33:U34">
    <cfRule type="notContainsBlanks" dxfId="3" priority="1">
      <formula>LEN(TRIM(L33))&gt;0</formula>
    </cfRule>
  </conditionalFormatting>
  <dataValidations count="3">
    <dataValidation type="list" allowBlank="1" showInputMessage="1" showErrorMessage="1" sqref="Q14:Q15" xr:uid="{5D25BB23-CB31-4081-B013-421A2B9ECF0A}">
      <formula1>YR_CARS</formula1>
    </dataValidation>
    <dataValidation type="list" allowBlank="1" showInputMessage="1" showErrorMessage="1" sqref="M30" xr:uid="{A310C6E1-13D0-4AAA-AEFF-23E04F2EF2E5}">
      <formula1>_xlfn.ANCHORARRAY(Z2)</formula1>
    </dataValidation>
    <dataValidation type="list" allowBlank="1" showInputMessage="1" showErrorMessage="1" sqref="L30" xr:uid="{B9C61274-6068-4FAE-9FF8-B3A9F2E2D40F}">
      <formula1>_xlfn.ANCHORARRAY(L2)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5730E-14BD-4D39-BB89-B0564E1A2C4B}">
  <dimension ref="A1:AQ46"/>
  <sheetViews>
    <sheetView tabSelected="1" workbookViewId="0">
      <selection activeCell="P2" sqref="P2"/>
    </sheetView>
  </sheetViews>
  <sheetFormatPr defaultRowHeight="14.4" x14ac:dyDescent="0.3"/>
  <cols>
    <col min="1" max="1" width="13.109375" style="6" bestFit="1" customWidth="1"/>
    <col min="2" max="2" width="10.77734375" style="6" customWidth="1"/>
    <col min="3" max="3" width="10.77734375" customWidth="1"/>
    <col min="4" max="4" width="11.33203125" customWidth="1"/>
    <col min="5" max="8" width="10.77734375" customWidth="1"/>
    <col min="9" max="9" width="10.77734375" style="49" customWidth="1"/>
    <col min="10" max="10" width="10.77734375" style="50" customWidth="1"/>
    <col min="11" max="12" width="10.77734375" customWidth="1"/>
    <col min="13" max="13" width="10.77734375" style="6" customWidth="1"/>
    <col min="14" max="14" width="13.5546875" bestFit="1" customWidth="1"/>
    <col min="15" max="15" width="12.5546875" style="6" bestFit="1" customWidth="1"/>
    <col min="16" max="18" width="7.33203125" style="6" customWidth="1"/>
    <col min="19" max="19" width="8.109375" bestFit="1" customWidth="1"/>
    <col min="20" max="21" width="7.33203125" customWidth="1"/>
    <col min="22" max="23" width="7.33203125" style="36" customWidth="1"/>
    <col min="24" max="27" width="7.33203125" customWidth="1"/>
    <col min="29" max="29" width="13.5546875" bestFit="1" customWidth="1"/>
    <col min="30" max="30" width="12.5546875" bestFit="1" customWidth="1"/>
    <col min="31" max="31" width="8" bestFit="1" customWidth="1"/>
    <col min="32" max="32" width="13.109375" bestFit="1" customWidth="1"/>
    <col min="33" max="33" width="12.109375" bestFit="1" customWidth="1"/>
    <col min="34" max="34" width="6.44140625" bestFit="1" customWidth="1"/>
    <col min="35" max="35" width="17.21875" customWidth="1"/>
    <col min="37" max="37" width="18.6640625" style="36" bestFit="1" customWidth="1"/>
    <col min="38" max="38" width="12.5546875" style="36" bestFit="1" customWidth="1"/>
    <col min="39" max="39" width="8.88671875" style="36" bestFit="1" customWidth="1"/>
    <col min="40" max="40" width="6" style="36" bestFit="1" customWidth="1"/>
    <col min="41" max="41" width="10.21875" bestFit="1" customWidth="1"/>
    <col min="42" max="42" width="10.21875" customWidth="1"/>
    <col min="43" max="43" width="8.88671875" style="6"/>
  </cols>
  <sheetData>
    <row r="1" spans="1:43" ht="15" thickBot="1" x14ac:dyDescent="0.35">
      <c r="A1" s="1" t="s">
        <v>0</v>
      </c>
      <c r="B1" s="1" t="s">
        <v>81</v>
      </c>
      <c r="C1" s="2" t="s">
        <v>1</v>
      </c>
      <c r="D1" s="2" t="s">
        <v>2</v>
      </c>
      <c r="E1" s="3" t="s">
        <v>3</v>
      </c>
      <c r="F1" s="2" t="s">
        <v>4</v>
      </c>
      <c r="G1" s="2" t="s">
        <v>5</v>
      </c>
      <c r="H1" s="2" t="s">
        <v>6</v>
      </c>
      <c r="I1" s="4" t="s">
        <v>7</v>
      </c>
      <c r="J1" s="5" t="s">
        <v>8</v>
      </c>
      <c r="K1" s="2" t="s">
        <v>9</v>
      </c>
      <c r="L1" s="6"/>
      <c r="M1" s="141">
        <v>1</v>
      </c>
      <c r="N1" s="7" t="s">
        <v>0</v>
      </c>
      <c r="O1" s="7" t="s">
        <v>81</v>
      </c>
      <c r="P1" s="8" t="str" cm="1">
        <f t="array" ref="P1:R1">TRANSPOSE(_xlfn._xlws.SORT(_xlfn.UNIQUE(_xlfn._xlws.FILTER(MAKES,MAKES&lt;&gt;""))))</f>
        <v>AUDI</v>
      </c>
      <c r="Q1" s="9" t="str">
        <v>HYUNDAI</v>
      </c>
      <c r="R1" s="9" t="str">
        <v>PEUGEOT</v>
      </c>
      <c r="S1" s="1" t="s">
        <v>11</v>
      </c>
      <c r="T1" s="1" t="s">
        <v>12</v>
      </c>
      <c r="V1" s="10" t="s">
        <v>1</v>
      </c>
      <c r="W1" s="11" t="s">
        <v>11</v>
      </c>
      <c r="X1" s="11" t="s">
        <v>12</v>
      </c>
      <c r="AB1" s="12" t="s">
        <v>6</v>
      </c>
      <c r="AD1" s="13" t="s">
        <v>13</v>
      </c>
      <c r="AF1" s="169" t="s">
        <v>112</v>
      </c>
      <c r="AG1" s="169"/>
      <c r="AK1"/>
      <c r="AO1" s="36"/>
      <c r="AQ1"/>
    </row>
    <row r="2" spans="1:43" x14ac:dyDescent="0.3">
      <c r="A2" s="112" t="s">
        <v>20</v>
      </c>
      <c r="B2" s="111" t="s">
        <v>82</v>
      </c>
      <c r="C2" s="15" t="s">
        <v>15</v>
      </c>
      <c r="D2" s="122" t="s">
        <v>16</v>
      </c>
      <c r="E2" s="17">
        <v>73</v>
      </c>
      <c r="F2" s="18">
        <v>326</v>
      </c>
      <c r="G2" s="19">
        <v>296</v>
      </c>
      <c r="H2" s="20">
        <v>2024</v>
      </c>
      <c r="I2" s="21">
        <v>46023</v>
      </c>
      <c r="J2" s="22">
        <f t="shared" ref="J2:J10" si="0">DATE(YEAR(I2)-1,MONTH(I2),DAY(I2))</f>
        <v>45658</v>
      </c>
      <c r="K2" s="23">
        <v>20000</v>
      </c>
      <c r="L2" s="6"/>
      <c r="N2" s="147" t="str" cm="1">
        <f t="array" ref="N2:N6">INDEX(_xlfn.ANCHORARRAY(AF2), 0, 1)</f>
        <v>SUPERCARS HULL</v>
      </c>
      <c r="O2" s="148" t="str" cm="1">
        <f t="array" ref="O2:O6">INDEX(_xlfn.ANCHORARRAY(AF2), 0, 2)</f>
        <v>MOUNT PLEASANT</v>
      </c>
      <c r="P2" s="25" cm="1">
        <f t="array" ref="P2:R6">SUMIFS(PRICES,BUSINESS,_xlfn.ANCHORARRAY($N2),VILLAGE,_xlfn.ANCHORARRAY(O2),MAKES,_xlfn.ANCHORARRAY($P$1))</f>
        <v>0</v>
      </c>
      <c r="Q2" s="25">
        <v>15000</v>
      </c>
      <c r="R2" s="25">
        <v>10000</v>
      </c>
      <c r="S2" s="25">
        <f>SUM(P2:R2)</f>
        <v>25000</v>
      </c>
      <c r="T2" s="153">
        <f>SUM(S2:S6)</f>
        <v>135000</v>
      </c>
      <c r="V2" s="26" t="str" cm="1">
        <f t="array" ref="V2:V4">_xlfn._xlws.SORT(_xlfn.UNIQUE(_xlfn._xlws.FILTER(MAKES,MAKES&lt;&gt;"")))</f>
        <v>AUDI</v>
      </c>
      <c r="W2" s="27">
        <f>SUMIFS(PRICES, MAKES, V2)</f>
        <v>47000</v>
      </c>
      <c r="X2" s="154">
        <f>SUM(W2:W4)</f>
        <v>135000</v>
      </c>
      <c r="AB2" s="6">
        <v>2020</v>
      </c>
      <c r="AD2" t="str" cm="1">
        <f t="array" ref="AD2">_xlfn._xlws.SORT(_xlfn.UNIQUE(_xlfn._xlws.FILTER(MAKES,BUSINESS=COMBOY)))</f>
        <v>HYUNDAI</v>
      </c>
      <c r="AF2" s="150" t="str" cm="1">
        <f t="array" ref="AF2:AG6">_xlfn._xlws.SORT(_xlfn.UNIQUE(_xlfn._xlws.FILTER(BUSINESS:VILLAGE,BUSINESS&lt;&gt;"")),{1,2})</f>
        <v>SUPERCARS HULL</v>
      </c>
      <c r="AG2" s="40" t="str">
        <v>MOUNT PLEASANT</v>
      </c>
      <c r="AH2" s="40"/>
      <c r="AI2" s="40"/>
      <c r="AK2"/>
      <c r="AO2" s="36"/>
      <c r="AQ2"/>
    </row>
    <row r="3" spans="1:43" x14ac:dyDescent="0.3">
      <c r="A3" s="112" t="s">
        <v>17</v>
      </c>
      <c r="B3" s="112" t="s">
        <v>86</v>
      </c>
      <c r="C3" s="28" t="s">
        <v>18</v>
      </c>
      <c r="D3" s="123" t="s">
        <v>19</v>
      </c>
      <c r="E3" s="30">
        <v>77</v>
      </c>
      <c r="F3" s="31">
        <v>268</v>
      </c>
      <c r="G3" s="32">
        <v>321</v>
      </c>
      <c r="H3" s="20">
        <v>2023</v>
      </c>
      <c r="I3" s="21">
        <v>46023</v>
      </c>
      <c r="J3" s="22">
        <f t="shared" si="0"/>
        <v>45658</v>
      </c>
      <c r="K3" s="23">
        <v>18000</v>
      </c>
      <c r="L3" s="6"/>
      <c r="N3" s="148" t="str">
        <v>SUPERCARS HULL</v>
      </c>
      <c r="O3" s="149" t="str">
        <v>PRIORY PARK</v>
      </c>
      <c r="P3" s="25">
        <v>0</v>
      </c>
      <c r="Q3" s="25">
        <v>16000</v>
      </c>
      <c r="R3" s="25">
        <v>20000</v>
      </c>
      <c r="S3" s="25">
        <f>SUM(P3:R3)</f>
        <v>36000</v>
      </c>
      <c r="T3" s="153"/>
      <c r="V3" s="26" t="str">
        <v>HYUNDAI</v>
      </c>
      <c r="W3" s="27">
        <f>SUMIFS(PRICES, MAKES, V3)</f>
        <v>49000</v>
      </c>
      <c r="X3" s="154"/>
      <c r="AB3" s="6">
        <f>AB2+1</f>
        <v>2021</v>
      </c>
      <c r="AF3" s="40" t="str">
        <v>SUPERCARS HULL</v>
      </c>
      <c r="AG3" s="40" t="str">
        <v>PRIORY PARK</v>
      </c>
      <c r="AH3" s="40"/>
      <c r="AI3" s="40"/>
      <c r="AK3"/>
      <c r="AO3" s="36"/>
      <c r="AQ3"/>
    </row>
    <row r="4" spans="1:43" x14ac:dyDescent="0.3">
      <c r="A4" s="112" t="s">
        <v>20</v>
      </c>
      <c r="B4" s="112" t="s">
        <v>82</v>
      </c>
      <c r="C4" s="33" t="s">
        <v>18</v>
      </c>
      <c r="D4" s="124" t="s">
        <v>21</v>
      </c>
      <c r="E4" s="30">
        <v>73</v>
      </c>
      <c r="F4" s="35">
        <v>315</v>
      </c>
      <c r="G4" s="19">
        <v>214</v>
      </c>
      <c r="H4" s="20">
        <v>2022</v>
      </c>
      <c r="I4" s="21">
        <v>46113</v>
      </c>
      <c r="J4" s="22">
        <f t="shared" si="0"/>
        <v>45748</v>
      </c>
      <c r="K4" s="23">
        <v>16000</v>
      </c>
      <c r="L4" s="6"/>
      <c r="N4" s="149" t="str">
        <v>SUPERCARS HULL</v>
      </c>
      <c r="O4" s="149" t="str">
        <v>ST ANDREWS QUAY</v>
      </c>
      <c r="P4" s="25">
        <v>32000</v>
      </c>
      <c r="Q4" s="25">
        <v>0</v>
      </c>
      <c r="R4" s="25">
        <v>0</v>
      </c>
      <c r="S4" s="25">
        <f>SUM(P4:R4)</f>
        <v>32000</v>
      </c>
      <c r="T4" s="153"/>
      <c r="V4" s="26" t="str">
        <v>PEUGEOT</v>
      </c>
      <c r="W4" s="27">
        <f>SUMIFS(PRICES, MAKES, V4)</f>
        <v>39000</v>
      </c>
      <c r="X4" s="154"/>
      <c r="AB4" s="6">
        <f t="shared" ref="AB4:AB8" si="1">AB3+1</f>
        <v>2022</v>
      </c>
      <c r="AF4" s="40" t="str">
        <v>SUPERCARS HULL</v>
      </c>
      <c r="AG4" s="40" t="str">
        <v>ST ANDREWS QUAY</v>
      </c>
      <c r="AH4" s="40"/>
      <c r="AI4" s="40"/>
      <c r="AK4"/>
      <c r="AO4" s="36"/>
      <c r="AQ4"/>
    </row>
    <row r="5" spans="1:43" x14ac:dyDescent="0.3">
      <c r="A5" s="112" t="s">
        <v>22</v>
      </c>
      <c r="B5" s="112" t="s">
        <v>85</v>
      </c>
      <c r="C5" s="28" t="s">
        <v>23</v>
      </c>
      <c r="D5" s="123" t="s">
        <v>94</v>
      </c>
      <c r="E5" s="30">
        <v>71</v>
      </c>
      <c r="F5" s="31">
        <v>194</v>
      </c>
      <c r="G5" s="32">
        <v>309</v>
      </c>
      <c r="H5" s="20">
        <v>2021</v>
      </c>
      <c r="I5" s="21">
        <v>46143</v>
      </c>
      <c r="J5" s="22">
        <f t="shared" si="0"/>
        <v>45778</v>
      </c>
      <c r="K5" s="23">
        <v>15000</v>
      </c>
      <c r="L5" s="6"/>
      <c r="N5" s="149" t="str">
        <v>SUPERCARS LEEDS</v>
      </c>
      <c r="O5" s="149" t="str">
        <v>HIGH STREET MKT</v>
      </c>
      <c r="P5" s="25">
        <v>0</v>
      </c>
      <c r="Q5" s="25">
        <v>18000</v>
      </c>
      <c r="R5" s="25">
        <v>0</v>
      </c>
      <c r="S5" s="25">
        <f>SUM(P5:R5)</f>
        <v>18000</v>
      </c>
      <c r="T5" s="153"/>
      <c r="V5" s="40" t="str">
        <f ca="1">_xlfn.FORMULATEXT(V2)</f>
        <v>=SORT(UNIQUE(FILTER(MAKES,MAKES&lt;&gt;"")))</v>
      </c>
      <c r="X5" s="36"/>
      <c r="AB5" s="6">
        <f t="shared" si="1"/>
        <v>2023</v>
      </c>
      <c r="AF5" s="40" t="str">
        <v>SUPERCARS LEEDS</v>
      </c>
      <c r="AG5" s="40" t="str">
        <v>HIGH STREET MKT</v>
      </c>
      <c r="AH5" s="40"/>
      <c r="AI5" s="40"/>
      <c r="AK5"/>
      <c r="AO5" s="36"/>
      <c r="AQ5"/>
    </row>
    <row r="6" spans="1:43" x14ac:dyDescent="0.3">
      <c r="A6" s="112" t="s">
        <v>20</v>
      </c>
      <c r="B6" s="112" t="s">
        <v>83</v>
      </c>
      <c r="C6" s="28" t="s">
        <v>18</v>
      </c>
      <c r="D6" s="123" t="s">
        <v>93</v>
      </c>
      <c r="E6" s="30">
        <v>58</v>
      </c>
      <c r="F6" s="31">
        <v>238</v>
      </c>
      <c r="G6" s="32">
        <v>168</v>
      </c>
      <c r="H6" s="20">
        <v>2021</v>
      </c>
      <c r="I6" s="21">
        <v>46174</v>
      </c>
      <c r="J6" s="22">
        <f t="shared" si="0"/>
        <v>45809</v>
      </c>
      <c r="K6" s="23">
        <v>15000</v>
      </c>
      <c r="L6" s="6"/>
      <c r="N6" s="149" t="str">
        <v>SUPERCARS LINCOLN</v>
      </c>
      <c r="O6" s="149" t="str">
        <v>MARKET STREET</v>
      </c>
      <c r="P6" s="25">
        <v>15000</v>
      </c>
      <c r="Q6" s="25">
        <v>0</v>
      </c>
      <c r="R6" s="25">
        <v>9000</v>
      </c>
      <c r="S6" s="25">
        <f>SUM(P6:R6)</f>
        <v>24000</v>
      </c>
      <c r="T6" s="153"/>
      <c r="V6" s="40" t="str">
        <f ca="1">_xlfn.FORMULATEXT(W2)</f>
        <v>=SUMIFS(PRICES, MAKES, V2)</v>
      </c>
      <c r="W6"/>
      <c r="Y6" s="40" t="str">
        <f ca="1">_xlfn.FORMULATEXT(X2)</f>
        <v>=SUM(W2:W4)</v>
      </c>
      <c r="AB6" s="6">
        <f t="shared" si="1"/>
        <v>2024</v>
      </c>
      <c r="AF6" s="40" t="str">
        <v>SUPERCARS LINCOLN</v>
      </c>
      <c r="AG6" s="40" t="str">
        <v>MARKET STREET</v>
      </c>
      <c r="AH6" s="40"/>
      <c r="AI6" s="40"/>
      <c r="AO6" s="36"/>
      <c r="AQ6"/>
    </row>
    <row r="7" spans="1:43" x14ac:dyDescent="0.3">
      <c r="A7" s="112" t="s">
        <v>20</v>
      </c>
      <c r="B7" s="112" t="s">
        <v>84</v>
      </c>
      <c r="C7" s="33" t="s">
        <v>23</v>
      </c>
      <c r="D7" s="124" t="s">
        <v>92</v>
      </c>
      <c r="E7" s="30">
        <v>55</v>
      </c>
      <c r="F7" s="35">
        <v>215</v>
      </c>
      <c r="G7" s="19">
        <v>168</v>
      </c>
      <c r="H7" s="20">
        <v>2020</v>
      </c>
      <c r="I7" s="21">
        <v>46204</v>
      </c>
      <c r="J7" s="22">
        <f t="shared" si="0"/>
        <v>45839</v>
      </c>
      <c r="K7" s="23">
        <v>14000</v>
      </c>
      <c r="L7" s="6"/>
      <c r="N7" s="67"/>
      <c r="O7" s="67"/>
      <c r="P7"/>
      <c r="Q7"/>
      <c r="R7"/>
      <c r="Z7" s="41"/>
      <c r="AB7" s="6">
        <f t="shared" si="1"/>
        <v>2025</v>
      </c>
      <c r="AK7" s="178" t="s">
        <v>87</v>
      </c>
      <c r="AL7" s="178"/>
      <c r="AM7" s="178"/>
      <c r="AN7" s="178"/>
      <c r="AO7" s="36"/>
      <c r="AQ7"/>
    </row>
    <row r="8" spans="1:43" x14ac:dyDescent="0.3">
      <c r="A8" s="112" t="s">
        <v>22</v>
      </c>
      <c r="B8" s="112" t="s">
        <v>85</v>
      </c>
      <c r="C8" s="28" t="s">
        <v>15</v>
      </c>
      <c r="D8" s="123" t="s">
        <v>90</v>
      </c>
      <c r="E8" s="30">
        <v>50</v>
      </c>
      <c r="F8" s="31">
        <v>232</v>
      </c>
      <c r="G8" s="32">
        <v>134</v>
      </c>
      <c r="H8" s="20">
        <v>2020</v>
      </c>
      <c r="I8" s="21">
        <v>46296</v>
      </c>
      <c r="J8" s="22">
        <f t="shared" si="0"/>
        <v>45931</v>
      </c>
      <c r="K8" s="23">
        <v>9000</v>
      </c>
      <c r="L8" s="6"/>
      <c r="N8" s="67"/>
      <c r="O8" s="67"/>
      <c r="Q8"/>
      <c r="V8"/>
      <c r="X8" s="36"/>
      <c r="AB8" s="6">
        <f t="shared" si="1"/>
        <v>2026</v>
      </c>
      <c r="AK8"/>
      <c r="AL8" s="84" t="str" cm="1">
        <f t="array" ref="AL8:AN8">_xlfn.LET(
_xlpm.array_1, TRANSPOSE(_xlfn._xlws.SORT(_xlfn.UNIQUE(_xlfn._xlws.FILTER(MAKES,MAKES&lt;&gt;"")))),
_xlpm.array_2,{""},
_xlpm.array_merged, _xlpm.array_1,
_xlpm.array_merged )</f>
        <v>AUDI</v>
      </c>
      <c r="AM8" s="117" t="str">
        <v>HYUNDAI</v>
      </c>
      <c r="AN8" s="117" t="str">
        <v>PEUGEOT</v>
      </c>
      <c r="AO8" s="117"/>
      <c r="AQ8"/>
    </row>
    <row r="9" spans="1:43" x14ac:dyDescent="0.3">
      <c r="A9" s="112" t="s">
        <v>20</v>
      </c>
      <c r="B9" s="112" t="s">
        <v>83</v>
      </c>
      <c r="C9" s="33" t="s">
        <v>15</v>
      </c>
      <c r="D9" s="124" t="s">
        <v>91</v>
      </c>
      <c r="E9" s="30">
        <v>50</v>
      </c>
      <c r="F9" s="35">
        <v>206</v>
      </c>
      <c r="G9" s="19">
        <v>136</v>
      </c>
      <c r="H9" s="20">
        <v>2021</v>
      </c>
      <c r="I9" s="21">
        <v>46327</v>
      </c>
      <c r="J9" s="22">
        <f t="shared" si="0"/>
        <v>45962</v>
      </c>
      <c r="K9" s="23">
        <v>10000</v>
      </c>
      <c r="L9" s="6"/>
      <c r="V9"/>
      <c r="X9" s="36"/>
      <c r="AB9" s="6"/>
      <c r="AK9" t="str" cm="1">
        <f t="array" ref="AK9:AK11">_xlfn.LET(
_xlpm.array_1, TRANSPOSE(_xlfn._xlws.SORT(_xlfn.UNIQUE(_xlfn._xlws.FILTER(MAKES,MAKES&lt;&gt;"")))),
_xlpm.array_2,_xlfn._xlws.SORT(_xlfn.UNIQUE(_xlfn._xlws.FILTER(BUSINESS,BUSINESS&lt;&gt;""))),
_xlpm.array_merged, _xlpm.array_2,
_xlpm.array_merged )</f>
        <v>SUPERCARS HULL</v>
      </c>
      <c r="AO9" s="36"/>
      <c r="AQ9"/>
    </row>
    <row r="10" spans="1:43" ht="15" thickBot="1" x14ac:dyDescent="0.35">
      <c r="A10" s="112" t="s">
        <v>20</v>
      </c>
      <c r="B10" s="112" t="s">
        <v>84</v>
      </c>
      <c r="C10" s="33" t="s">
        <v>23</v>
      </c>
      <c r="D10" s="124" t="s">
        <v>95</v>
      </c>
      <c r="E10" s="30">
        <v>95</v>
      </c>
      <c r="F10" s="35">
        <v>252</v>
      </c>
      <c r="G10" s="19">
        <v>402</v>
      </c>
      <c r="H10" s="20">
        <v>2022</v>
      </c>
      <c r="I10" s="21">
        <v>46381</v>
      </c>
      <c r="J10" s="22">
        <f t="shared" si="0"/>
        <v>46016</v>
      </c>
      <c r="K10" s="23">
        <v>18000</v>
      </c>
      <c r="L10" s="6"/>
      <c r="X10" s="36"/>
      <c r="AB10" s="6"/>
      <c r="AK10" t="str">
        <v>SUPERCARS LEEDS</v>
      </c>
      <c r="AO10" s="36"/>
      <c r="AQ10"/>
    </row>
    <row r="11" spans="1:43" ht="14.4" customHeight="1" thickBot="1" x14ac:dyDescent="0.35">
      <c r="D11" s="36"/>
      <c r="M11" s="131">
        <v>2</v>
      </c>
      <c r="N11" s="202" t="s">
        <v>28</v>
      </c>
      <c r="O11" s="203" t="s">
        <v>29</v>
      </c>
      <c r="P11" s="204"/>
      <c r="Q11" s="204"/>
      <c r="R11" s="205"/>
      <c r="S11" s="1" t="s">
        <v>6</v>
      </c>
      <c r="V11"/>
      <c r="X11" s="36"/>
      <c r="Y11" s="38"/>
      <c r="Z11" s="41"/>
      <c r="AB11" s="6"/>
      <c r="AK11" t="str">
        <v>SUPERCARS LINCOLN</v>
      </c>
      <c r="AO11" s="36"/>
      <c r="AQ11"/>
    </row>
    <row r="12" spans="1:43" ht="14.4" customHeight="1" thickBot="1" x14ac:dyDescent="0.35">
      <c r="D12" s="183" t="s">
        <v>37</v>
      </c>
      <c r="E12" s="184"/>
      <c r="F12" s="185" t="s">
        <v>103</v>
      </c>
      <c r="G12" s="185"/>
      <c r="H12" s="185"/>
      <c r="I12" s="185"/>
      <c r="J12" s="186"/>
      <c r="K12" s="189"/>
      <c r="L12" s="190"/>
      <c r="N12" s="155"/>
      <c r="O12" s="42">
        <f>DATE($S12,1,1)</f>
        <v>45658</v>
      </c>
      <c r="P12" s="42">
        <f>DATE($S12,4,1)</f>
        <v>45748</v>
      </c>
      <c r="Q12" s="42">
        <f>DATE($S12,7,1)</f>
        <v>45839</v>
      </c>
      <c r="R12" s="43">
        <f>DATE($S12,10,1)</f>
        <v>45931</v>
      </c>
      <c r="S12" s="44">
        <v>2025</v>
      </c>
      <c r="T12" s="45" t="s">
        <v>31</v>
      </c>
      <c r="V12"/>
      <c r="X12" s="36"/>
      <c r="AB12" s="6"/>
      <c r="AK12"/>
      <c r="AO12" s="36"/>
      <c r="AQ12"/>
    </row>
    <row r="13" spans="1:43" ht="14.4" customHeight="1" thickBot="1" x14ac:dyDescent="0.35">
      <c r="D13" s="180" t="s">
        <v>38</v>
      </c>
      <c r="E13" s="181"/>
      <c r="F13" s="126" t="str">
        <f ca="1">_xlfn.FORMULATEXT(AF2)</f>
        <v>=SORT(UNIQUE(FILTER(BUSINESS:VILLAGE,BUSINESS&lt;&gt;"")),{1,2})</v>
      </c>
      <c r="G13" s="127"/>
      <c r="H13" s="127"/>
      <c r="I13" s="127"/>
      <c r="J13" s="125"/>
      <c r="K13" s="191"/>
      <c r="L13" s="192"/>
      <c r="N13" s="155"/>
      <c r="O13" s="46">
        <f>EOMONTH(DATE($S13,3,1),0)</f>
        <v>45747</v>
      </c>
      <c r="P13" s="46">
        <f>EOMONTH(DATE($S13,6,1),0)</f>
        <v>45838</v>
      </c>
      <c r="Q13" s="46">
        <f>EOMONTH(DATE($S13,9,1),0)</f>
        <v>45930</v>
      </c>
      <c r="R13" s="47">
        <f>EOMONTH(DATE($S13,12,1),0)</f>
        <v>46022</v>
      </c>
      <c r="S13" s="48">
        <v>2025</v>
      </c>
      <c r="T13" s="45" t="s">
        <v>31</v>
      </c>
      <c r="V13"/>
      <c r="X13" s="36"/>
      <c r="AB13" s="6"/>
      <c r="AK13"/>
      <c r="AO13" s="36"/>
      <c r="AQ13"/>
    </row>
    <row r="14" spans="1:43" ht="14.4" customHeight="1" thickBot="1" x14ac:dyDescent="0.35">
      <c r="D14" s="170" t="s">
        <v>113</v>
      </c>
      <c r="E14" s="171"/>
      <c r="F14" s="206" t="str">
        <f ca="1">_xlfn.FORMULATEXT(N2)</f>
        <v>=INDEX(AF2#, 0, 1)</v>
      </c>
      <c r="G14" s="207"/>
      <c r="H14" s="151" t="s">
        <v>114</v>
      </c>
      <c r="I14" s="172" t="str">
        <f ca="1">_xlfn.FORMULATEXT(O2)</f>
        <v>=INDEX(AF2#, 0, 2)</v>
      </c>
      <c r="J14" s="172"/>
      <c r="K14" s="173"/>
      <c r="L14" s="174"/>
      <c r="N14" s="155"/>
      <c r="O14" s="1" t="s">
        <v>33</v>
      </c>
      <c r="P14" s="1" t="s">
        <v>34</v>
      </c>
      <c r="Q14" s="1" t="s">
        <v>35</v>
      </c>
      <c r="R14" s="1" t="s">
        <v>36</v>
      </c>
      <c r="S14" s="1" t="s">
        <v>11</v>
      </c>
      <c r="T14" s="1" t="s">
        <v>12</v>
      </c>
      <c r="V14"/>
      <c r="X14" s="36"/>
      <c r="Y14" s="55"/>
      <c r="AB14" s="6"/>
      <c r="AK14" s="178" t="s">
        <v>88</v>
      </c>
      <c r="AL14" s="178"/>
      <c r="AM14" s="178"/>
      <c r="AN14" s="178"/>
      <c r="AO14" s="36"/>
      <c r="AQ14"/>
    </row>
    <row r="15" spans="1:43" ht="14.4" customHeight="1" thickBot="1" x14ac:dyDescent="0.35">
      <c r="D15" s="197" t="s">
        <v>39</v>
      </c>
      <c r="E15" s="198"/>
      <c r="F15" s="37" t="str">
        <f ca="1">_xlfn.FORMULATEXT(P1)</f>
        <v>=TRANSPOSE(SORT(UNIQUE(FILTER(MAKES,MAKES&lt;&gt;""))))</v>
      </c>
      <c r="G15" s="127"/>
      <c r="I15" s="129"/>
      <c r="J15" s="130"/>
      <c r="K15" s="173"/>
      <c r="L15" s="174"/>
      <c r="N15" s="120" t="str" cm="1">
        <f t="array" ref="N15:N17">_xlfn._xlws.SORT(_xlfn.UNIQUE(_xlfn._xlws.FILTER(BUSINESS,BUSINESS&lt;&gt;"")))</f>
        <v>SUPERCARS HULL</v>
      </c>
      <c r="O15" s="25" cm="1">
        <f t="array" ref="O15:R17">SUMIFS(PRICES, BUSINESS,_xlfn.ANCHORARRAY($N15), SOLD,"&gt;="&amp;QTR_S, SOLD,"&lt;="&amp;QTR_E)</f>
        <v>20000</v>
      </c>
      <c r="P15" s="25">
        <v>31000</v>
      </c>
      <c r="Q15" s="25">
        <v>14000</v>
      </c>
      <c r="R15" s="25">
        <v>28000</v>
      </c>
      <c r="S15" s="51">
        <f>SUM(O15:R15)</f>
        <v>93000</v>
      </c>
      <c r="T15" s="153">
        <f>SUM(S15:S18)</f>
        <v>135000</v>
      </c>
      <c r="V15"/>
      <c r="X15" s="36"/>
      <c r="Y15" s="58"/>
      <c r="AB15" s="6"/>
      <c r="AK15"/>
      <c r="AO15" s="36"/>
      <c r="AQ15"/>
    </row>
    <row r="16" spans="1:43" ht="14.4" customHeight="1" thickBot="1" x14ac:dyDescent="0.35">
      <c r="D16" s="194" t="s">
        <v>40</v>
      </c>
      <c r="E16" s="196"/>
      <c r="F16" s="199" t="str">
        <f ca="1">_xlfn.FORMULATEXT(P2)</f>
        <v>=SUMIFS(PRICES,BUSINESS,$N2#,VILLAGE,O2#,MAKES,$P$1#)</v>
      </c>
      <c r="G16" s="199"/>
      <c r="H16" s="199"/>
      <c r="I16" s="199"/>
      <c r="J16" s="200"/>
      <c r="K16" s="173"/>
      <c r="L16" s="174"/>
      <c r="N16" s="120" t="str">
        <v>SUPERCARS LEEDS</v>
      </c>
      <c r="O16" s="25">
        <v>18000</v>
      </c>
      <c r="P16" s="25">
        <v>0</v>
      </c>
      <c r="Q16" s="25">
        <v>0</v>
      </c>
      <c r="R16" s="25">
        <v>0</v>
      </c>
      <c r="S16" s="51">
        <f t="shared" ref="S16:S18" si="2">SUM(O16:R16)</f>
        <v>18000</v>
      </c>
      <c r="T16" s="153"/>
      <c r="V16"/>
      <c r="X16" s="36"/>
      <c r="Y16" s="39"/>
      <c r="AB16" s="6"/>
      <c r="AK16" s="7" t="s">
        <v>10</v>
      </c>
      <c r="AL16" s="7" t="s">
        <v>81</v>
      </c>
      <c r="AM16" s="8" t="str" cm="1">
        <f t="array" ref="AM16:AO16">TRANSPOSE(_xlfn._xlws.SORT(_xlfn.UNIQUE(_xlfn._xlws.FILTER(MAKES,MAKES&lt;&gt;""))))</f>
        <v>AUDI</v>
      </c>
      <c r="AN16" s="9" t="str">
        <v>HYUNDAI</v>
      </c>
      <c r="AO16" s="9" t="str">
        <v>PEUGEOT</v>
      </c>
      <c r="AP16" s="1" t="s">
        <v>11</v>
      </c>
      <c r="AQ16" s="1" t="s">
        <v>12</v>
      </c>
    </row>
    <row r="17" spans="1:43" ht="14.4" customHeight="1" thickBot="1" x14ac:dyDescent="0.35">
      <c r="D17" s="183" t="s">
        <v>41</v>
      </c>
      <c r="E17" s="184"/>
      <c r="F17" s="187" t="s">
        <v>102</v>
      </c>
      <c r="G17" s="187"/>
      <c r="H17" s="187"/>
      <c r="I17" s="187"/>
      <c r="J17" s="187"/>
      <c r="K17" s="187"/>
      <c r="L17" s="188"/>
      <c r="N17" s="120" t="str">
        <v>SUPERCARS LINCOLN</v>
      </c>
      <c r="O17" s="25">
        <v>0</v>
      </c>
      <c r="P17" s="25">
        <v>15000</v>
      </c>
      <c r="Q17" s="25">
        <v>0</v>
      </c>
      <c r="R17" s="25">
        <v>9000</v>
      </c>
      <c r="S17" s="51">
        <f t="shared" si="2"/>
        <v>24000</v>
      </c>
      <c r="T17" s="153"/>
      <c r="V17"/>
      <c r="W17" s="38"/>
      <c r="X17" s="38"/>
      <c r="Y17" s="39"/>
      <c r="AB17" s="6"/>
      <c r="AK17" s="113" t="str" cm="1">
        <f t="array" ref="AK17:AL21">_xlfn._xlws.SORT(_xlfn.UNIQUE(_xlfn._xlws.FILTER(BUSINESS:VILLAGE,BUSINESS&lt;&gt;"")),,,)</f>
        <v>SUPERCARS HULL</v>
      </c>
      <c r="AL17" s="116" t="str">
        <v>PRIORY PARK</v>
      </c>
      <c r="AM17" s="25">
        <f>SUMPRODUCT(SUMIFS(PRICES,BUSINESS,$AK17,VILLAGE,$AL17,MAKES,$AM$16))</f>
        <v>0</v>
      </c>
      <c r="AN17" s="25">
        <f>SUMPRODUCT(SUMIFS(PRICES,BUSINESS,$AK17,VILLAGE,$AL17,MAKES,$AN$16))</f>
        <v>16000</v>
      </c>
      <c r="AO17" s="25">
        <f>SUMPRODUCT(SUMIFS(PRICES,BUSINESS,$AK17,VILLAGE,$AL17,MAKES,$AO$16))</f>
        <v>20000</v>
      </c>
      <c r="AP17" s="25">
        <f>SUM(AM17:AO17)</f>
        <v>36000</v>
      </c>
      <c r="AQ17" s="153">
        <f>SUM(AP17:AP21)</f>
        <v>135000</v>
      </c>
    </row>
    <row r="18" spans="1:43" ht="14.4" customHeight="1" thickBot="1" x14ac:dyDescent="0.35">
      <c r="D18" s="133" t="s">
        <v>96</v>
      </c>
      <c r="E18" s="132"/>
      <c r="F18" s="128" t="str">
        <f ca="1">_xlfn.FORMULATEXT(O12)</f>
        <v>=DATE($S12,1,1)</v>
      </c>
      <c r="G18" s="132"/>
      <c r="H18" s="134" t="s">
        <v>97</v>
      </c>
      <c r="I18" s="135"/>
      <c r="J18" s="128" t="str">
        <f ca="1">_xlfn.FORMULATEXT(O13)</f>
        <v>=EOMONTH(DATE($S13,3,1),0)</v>
      </c>
      <c r="K18" s="132"/>
      <c r="L18" s="130"/>
      <c r="N18" s="120"/>
      <c r="O18" s="25"/>
      <c r="P18" s="25"/>
      <c r="Q18" s="25"/>
      <c r="R18" s="25"/>
      <c r="S18" s="51">
        <f t="shared" si="2"/>
        <v>0</v>
      </c>
      <c r="T18" s="153"/>
      <c r="V18"/>
      <c r="X18" s="36"/>
      <c r="AB18" s="6"/>
      <c r="AE18" s="64"/>
      <c r="AF18" s="64"/>
      <c r="AG18" s="64"/>
      <c r="AK18" s="110" t="str">
        <v>SUPERCARS HULL</v>
      </c>
      <c r="AL18" s="116" t="str">
        <v>MOUNT PLEASANT</v>
      </c>
      <c r="AM18" s="25">
        <f>SUMPRODUCT(SUMIFS(PRICES,BUSINESS,$AK18,VILLAGE,$AL18,MAKES,$AM$16))</f>
        <v>0</v>
      </c>
      <c r="AN18" s="25">
        <f>SUMPRODUCT(SUMIFS(PRICES,BUSINESS,$AK18,VILLAGE,$AL18,MAKES,$AN$16))</f>
        <v>15000</v>
      </c>
      <c r="AO18" s="25">
        <f>SUMPRODUCT(SUMIFS(PRICES,BUSINESS,$AK18,VILLAGE,$AL18,MAKES,$AO$16))</f>
        <v>10000</v>
      </c>
      <c r="AP18" s="25">
        <f>SUM(AM18:AO18)</f>
        <v>25000</v>
      </c>
      <c r="AQ18" s="153"/>
    </row>
    <row r="19" spans="1:43" ht="14.4" customHeight="1" thickBot="1" x14ac:dyDescent="0.35">
      <c r="D19" s="180" t="s">
        <v>45</v>
      </c>
      <c r="E19" s="193"/>
      <c r="F19" s="181"/>
      <c r="G19" s="134" t="str">
        <f ca="1">_xlfn.FORMULATEXT(N15)</f>
        <v>=SORT(UNIQUE(FILTER(BUSINESS,BUSINESS&lt;&gt;"")))</v>
      </c>
      <c r="H19" s="132"/>
      <c r="I19" s="132"/>
      <c r="J19" s="136"/>
      <c r="K19" s="132"/>
      <c r="L19" s="130"/>
      <c r="N19" s="109"/>
      <c r="O19" s="67"/>
      <c r="S19" s="6"/>
      <c r="V19"/>
      <c r="X19" s="36"/>
      <c r="AB19" s="6"/>
      <c r="AE19" s="64"/>
      <c r="AF19" s="64"/>
      <c r="AG19" s="64"/>
      <c r="AK19" s="110" t="str">
        <v>SUPERCARS HULL</v>
      </c>
      <c r="AL19" s="116" t="str">
        <v>ST ANDREWS QUAY</v>
      </c>
      <c r="AM19" s="25">
        <f>SUMPRODUCT(SUMIFS(PRICES,BUSINESS,$AK19,VILLAGE,$AL19,MAKES,$AM$16))</f>
        <v>32000</v>
      </c>
      <c r="AN19" s="25">
        <f>SUMPRODUCT(SUMIFS(PRICES,BUSINESS,$AK19,VILLAGE,$AL19,MAKES,$AN$16))</f>
        <v>0</v>
      </c>
      <c r="AO19" s="25">
        <f>SUMPRODUCT(SUMIFS(PRICES,BUSINESS,$AK19,VILLAGE,$AL19,MAKES,$AO$16))</f>
        <v>0</v>
      </c>
      <c r="AP19" s="25">
        <f>SUM(AM19:AO19)</f>
        <v>32000</v>
      </c>
      <c r="AQ19" s="153"/>
    </row>
    <row r="20" spans="1:43" ht="14.4" customHeight="1" thickBot="1" x14ac:dyDescent="0.35">
      <c r="D20" s="194" t="s">
        <v>98</v>
      </c>
      <c r="E20" s="195"/>
      <c r="F20" s="196"/>
      <c r="G20" s="128" t="str">
        <f ca="1">_xlfn.FORMULATEXT(O15)</f>
        <v>=SUMIFS(PRICES, BUSINESS,$N15#, SOLD,"&gt;="&amp;QTR_S, SOLD,"&lt;="&amp;QTR_E)</v>
      </c>
      <c r="H20" s="132"/>
      <c r="I20" s="132"/>
      <c r="J20" s="132"/>
      <c r="K20" s="132"/>
      <c r="L20" s="130"/>
      <c r="N20" s="67"/>
      <c r="O20" s="67"/>
      <c r="S20" s="6"/>
      <c r="V20" t="str" cm="1">
        <f t="array" ref="V20:V25">_xlfn.UNIQUE(CHOOSE({2},
BUSINESS,VILLAGE))</f>
        <v>PRIORY PARK</v>
      </c>
      <c r="X20" s="36"/>
      <c r="AB20" s="6"/>
      <c r="AE20" s="64"/>
      <c r="AF20" s="64"/>
      <c r="AG20" s="64"/>
      <c r="AK20" s="110" t="str">
        <v>SUPERCARS LEEDS</v>
      </c>
      <c r="AL20" s="116" t="str">
        <v>HIGH STREET MKT</v>
      </c>
      <c r="AM20" s="25">
        <f>SUMPRODUCT(SUMIFS(PRICES,BUSINESS,$AK20,VILLAGE,$AL20,MAKES,$AM$16))</f>
        <v>0</v>
      </c>
      <c r="AN20" s="25">
        <f>SUMPRODUCT(SUMIFS(PRICES,BUSINESS,$AK20,VILLAGE,$AL20,MAKES,$AN$16))</f>
        <v>18000</v>
      </c>
      <c r="AO20" s="25">
        <f>SUMPRODUCT(SUMIFS(PRICES,BUSINESS,$AK20,VILLAGE,$AL20,MAKES,$AO$16))</f>
        <v>0</v>
      </c>
      <c r="AP20" s="25">
        <f>SUM(AM20:AO20)</f>
        <v>18000</v>
      </c>
      <c r="AQ20" s="153"/>
    </row>
    <row r="21" spans="1:43" ht="14.4" customHeight="1" thickBot="1" x14ac:dyDescent="0.35">
      <c r="D21" s="201" t="s">
        <v>47</v>
      </c>
      <c r="E21" s="199"/>
      <c r="F21" s="128" t="s">
        <v>48</v>
      </c>
      <c r="G21" s="137" t="s">
        <v>49</v>
      </c>
      <c r="H21" s="128"/>
      <c r="I21" s="128" t="s">
        <v>50</v>
      </c>
      <c r="J21" s="137" t="s">
        <v>51</v>
      </c>
      <c r="K21" s="132"/>
      <c r="L21" s="130"/>
      <c r="N21" s="67"/>
      <c r="O21" s="67"/>
      <c r="S21" s="6"/>
      <c r="V21" t="str">
        <v>HIGH STREET MKT</v>
      </c>
      <c r="X21" s="36"/>
      <c r="AB21" s="6"/>
      <c r="AE21" s="64"/>
      <c r="AF21" s="64"/>
      <c r="AG21" s="64"/>
      <c r="AK21" s="110" t="str">
        <v>SUPERCARS LINCOLN</v>
      </c>
      <c r="AL21" s="116" t="str">
        <v>MARKET STREET</v>
      </c>
      <c r="AM21" s="25">
        <f>SUMPRODUCT(SUMIFS(PRICES,BUSINESS,$AK21,VILLAGE,$AL21,MAKES,$AM$16))</f>
        <v>15000</v>
      </c>
      <c r="AN21" s="25">
        <f>SUMPRODUCT(SUMIFS(PRICES,BUSINESS,$AK21,VILLAGE,$AL21,MAKES,$AN$16))</f>
        <v>0</v>
      </c>
      <c r="AO21" s="25">
        <f>SUMPRODUCT(SUMIFS(PRICES,BUSINESS,$AK21,VILLAGE,$AL21,MAKES,$AO$16))</f>
        <v>9000</v>
      </c>
      <c r="AP21" s="25">
        <f>SUM(AM21:AO21)</f>
        <v>24000</v>
      </c>
      <c r="AQ21" s="153"/>
    </row>
    <row r="22" spans="1:43" ht="14.4" customHeight="1" x14ac:dyDescent="0.3">
      <c r="K22" s="68"/>
      <c r="L22" s="68"/>
      <c r="N22" s="67"/>
      <c r="O22" s="67"/>
      <c r="R22"/>
      <c r="U22" s="36"/>
      <c r="V22" s="36" t="str">
        <v>MARKET STREET</v>
      </c>
      <c r="W22"/>
      <c r="AB22" s="6"/>
      <c r="AE22" s="64"/>
      <c r="AF22" s="64"/>
      <c r="AG22" s="64"/>
      <c r="AH22" s="143"/>
      <c r="AI22" s="143"/>
    </row>
    <row r="23" spans="1:43" ht="14.4" customHeight="1" x14ac:dyDescent="0.3">
      <c r="A23" s="175" t="s">
        <v>89</v>
      </c>
      <c r="B23" s="61">
        <f t="shared" ref="B23:M23" si="3">B24</f>
        <v>45658</v>
      </c>
      <c r="C23" s="61">
        <f t="shared" si="3"/>
        <v>45689</v>
      </c>
      <c r="D23" s="61">
        <f t="shared" si="3"/>
        <v>45717</v>
      </c>
      <c r="E23" s="61">
        <f t="shared" si="3"/>
        <v>45748</v>
      </c>
      <c r="F23" s="61">
        <f t="shared" si="3"/>
        <v>45778</v>
      </c>
      <c r="G23" s="61">
        <f t="shared" si="3"/>
        <v>45809</v>
      </c>
      <c r="H23" s="61">
        <f t="shared" si="3"/>
        <v>45839</v>
      </c>
      <c r="I23" s="61">
        <f t="shared" si="3"/>
        <v>45870</v>
      </c>
      <c r="J23" s="61">
        <f t="shared" si="3"/>
        <v>45901</v>
      </c>
      <c r="K23" s="61">
        <f t="shared" si="3"/>
        <v>45931</v>
      </c>
      <c r="L23" s="61">
        <f t="shared" si="3"/>
        <v>45962</v>
      </c>
      <c r="M23" s="61">
        <f t="shared" si="3"/>
        <v>45992</v>
      </c>
      <c r="N23" s="2" t="s">
        <v>6</v>
      </c>
      <c r="O23" s="182" t="s">
        <v>11</v>
      </c>
      <c r="R23"/>
      <c r="U23" s="36"/>
      <c r="V23" s="36" t="str">
        <v>MOUNT PLEASANT</v>
      </c>
      <c r="W23"/>
      <c r="AB23" s="6"/>
      <c r="AH23" s="143"/>
      <c r="AI23" s="143"/>
      <c r="AK23" s="178" t="s">
        <v>105</v>
      </c>
      <c r="AL23" s="178"/>
      <c r="AM23" s="178"/>
      <c r="AN23" s="178"/>
    </row>
    <row r="24" spans="1:43" ht="14.4" customHeight="1" x14ac:dyDescent="0.3">
      <c r="A24" s="176"/>
      <c r="B24" s="63">
        <f>DATE($N24,1,1)</f>
        <v>45658</v>
      </c>
      <c r="C24" s="63">
        <f>DATE($N24,2,1)</f>
        <v>45689</v>
      </c>
      <c r="D24" s="63">
        <f>DATE($N24,3,1)</f>
        <v>45717</v>
      </c>
      <c r="E24" s="63">
        <f>DATE($N24,4,1)</f>
        <v>45748</v>
      </c>
      <c r="F24" s="63">
        <f>DATE($N24,5,1)</f>
        <v>45778</v>
      </c>
      <c r="G24" s="63">
        <f>DATE($N24,6,1)</f>
        <v>45809</v>
      </c>
      <c r="H24" s="63">
        <f>DATE($N24,7,1)</f>
        <v>45839</v>
      </c>
      <c r="I24" s="63">
        <f>DATE($N24,8,1)</f>
        <v>45870</v>
      </c>
      <c r="J24" s="63">
        <f>DATE($N24,9,1)</f>
        <v>45901</v>
      </c>
      <c r="K24" s="63">
        <f>DATE($N24,10,1)</f>
        <v>45931</v>
      </c>
      <c r="L24" s="63">
        <f>DATE($N24,11,1)</f>
        <v>45962</v>
      </c>
      <c r="M24" s="63">
        <f>DATE($N24,12,1)</f>
        <v>45992</v>
      </c>
      <c r="N24" s="115">
        <v>2025</v>
      </c>
      <c r="O24" s="182"/>
      <c r="R24"/>
      <c r="U24" s="36"/>
      <c r="V24" s="36" t="str">
        <v>ST ANDREWS QUAY</v>
      </c>
      <c r="W24"/>
      <c r="AB24" s="6"/>
      <c r="AE24" s="64"/>
      <c r="AF24" s="64"/>
      <c r="AG24" s="64"/>
      <c r="AH24" s="143"/>
      <c r="AI24" s="143"/>
      <c r="AN24"/>
      <c r="AP24" s="6"/>
      <c r="AQ24"/>
    </row>
    <row r="25" spans="1:43" ht="14.4" customHeight="1" x14ac:dyDescent="0.3">
      <c r="A25" s="177"/>
      <c r="B25" s="63">
        <f>EOMONTH(DATE($N25,1,1),0)</f>
        <v>45688</v>
      </c>
      <c r="C25" s="63">
        <f>EOMONTH(DATE($N25,2,1),0)</f>
        <v>45716</v>
      </c>
      <c r="D25" s="63">
        <f>EOMONTH(DATE($N25,3,1),0)</f>
        <v>45747</v>
      </c>
      <c r="E25" s="63">
        <f>EOMONTH(DATE($N25,4,1),0)</f>
        <v>45777</v>
      </c>
      <c r="F25" s="63">
        <f>EOMONTH(DATE($N25,5,1),0)</f>
        <v>45808</v>
      </c>
      <c r="G25" s="63">
        <f>EOMONTH(DATE($N25,6,1),0)</f>
        <v>45838</v>
      </c>
      <c r="H25" s="63">
        <f>EOMONTH(DATE($N25,7,1),0)</f>
        <v>45869</v>
      </c>
      <c r="I25" s="63">
        <f>EOMONTH(DATE($N25,8,1),0)</f>
        <v>45900</v>
      </c>
      <c r="J25" s="63">
        <f>EOMONTH(DATE($N25,9,1),0)</f>
        <v>45930</v>
      </c>
      <c r="K25" s="63">
        <f>EOMONTH(DATE($N25,10,1),0)</f>
        <v>45961</v>
      </c>
      <c r="L25" s="63">
        <f>EOMONTH(DATE($N25,11,1),0)</f>
        <v>45991</v>
      </c>
      <c r="M25" s="63">
        <f>EOMONTH(DATE($N25,12,1),0)</f>
        <v>46022</v>
      </c>
      <c r="N25" s="115">
        <v>2025</v>
      </c>
      <c r="O25" s="182"/>
      <c r="R25"/>
      <c r="U25" s="36"/>
      <c r="V25" s="36">
        <v>0</v>
      </c>
      <c r="W25"/>
      <c r="AB25" s="6"/>
      <c r="AE25" s="64"/>
      <c r="AF25" s="64"/>
      <c r="AG25" s="64"/>
      <c r="AH25" s="143"/>
      <c r="AI25" s="143"/>
    </row>
    <row r="26" spans="1:43" ht="14.4" customHeight="1" x14ac:dyDescent="0.3">
      <c r="A26" s="121" t="str" cm="1">
        <f t="array" ref="A26:A28">_xlfn._xlws.SORT(_xlfn.UNIQUE(_xlfn._xlws.FILTER(BUSINESS,BUSINESS&lt;&gt;"")))</f>
        <v>SUPERCARS HULL</v>
      </c>
      <c r="B26" s="114" cm="1">
        <f t="array" ref="B26:M28">SUMIFS(PRICES,BUSINESS,_xlfn.ANCHORARRAY($A26),SOLD,"&gt;="&amp;MTH_START,SOLD,"&lt;="&amp;MTH_END)</f>
        <v>20000</v>
      </c>
      <c r="C26" s="114">
        <v>0</v>
      </c>
      <c r="D26" s="114">
        <v>0</v>
      </c>
      <c r="E26" s="114">
        <v>16000</v>
      </c>
      <c r="F26" s="114">
        <v>0</v>
      </c>
      <c r="G26" s="114">
        <v>15000</v>
      </c>
      <c r="H26" s="114">
        <v>14000</v>
      </c>
      <c r="I26" s="114">
        <v>0</v>
      </c>
      <c r="J26" s="114">
        <v>0</v>
      </c>
      <c r="K26" s="114">
        <v>0</v>
      </c>
      <c r="L26" s="114">
        <v>10000</v>
      </c>
      <c r="M26" s="114">
        <v>18000</v>
      </c>
      <c r="N26" s="140">
        <f>SUM(B26:M26)</f>
        <v>93000</v>
      </c>
      <c r="O26" s="153">
        <f>SUM(N26:N28)</f>
        <v>135000</v>
      </c>
      <c r="R26"/>
      <c r="U26" s="36"/>
      <c r="W26"/>
      <c r="AB26" s="6"/>
      <c r="AE26" s="64"/>
      <c r="AF26" s="64"/>
      <c r="AG26" s="64"/>
      <c r="AH26" s="143"/>
      <c r="AI26" s="143"/>
    </row>
    <row r="27" spans="1:43" ht="14.4" customHeight="1" x14ac:dyDescent="0.3">
      <c r="A27" s="121" t="str">
        <v>SUPERCARS LEEDS</v>
      </c>
      <c r="B27" s="114">
        <v>18000</v>
      </c>
      <c r="C27" s="114">
        <v>0</v>
      </c>
      <c r="D27" s="114">
        <v>0</v>
      </c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  <c r="L27" s="114">
        <v>0</v>
      </c>
      <c r="M27" s="114">
        <v>0</v>
      </c>
      <c r="N27" s="140">
        <f t="shared" ref="N27:N28" si="4">SUM(B27:M27)</f>
        <v>18000</v>
      </c>
      <c r="O27" s="153"/>
      <c r="R27"/>
      <c r="U27" s="36"/>
      <c r="W27"/>
      <c r="AB27" s="6"/>
      <c r="AE27" s="64"/>
      <c r="AF27" s="64"/>
      <c r="AG27" s="64"/>
      <c r="AH27" s="143"/>
      <c r="AI27" s="143"/>
    </row>
    <row r="28" spans="1:43" ht="14.4" customHeight="1" x14ac:dyDescent="0.3">
      <c r="A28" s="121" t="str">
        <v>SUPERCARS LINCOLN</v>
      </c>
      <c r="B28" s="114">
        <v>0</v>
      </c>
      <c r="C28" s="114">
        <v>0</v>
      </c>
      <c r="D28" s="114">
        <v>0</v>
      </c>
      <c r="E28" s="114">
        <v>0</v>
      </c>
      <c r="F28" s="114">
        <v>15000</v>
      </c>
      <c r="G28" s="114">
        <v>0</v>
      </c>
      <c r="H28" s="114">
        <v>0</v>
      </c>
      <c r="I28" s="114">
        <v>0</v>
      </c>
      <c r="J28" s="114">
        <v>0</v>
      </c>
      <c r="K28" s="114">
        <v>9000</v>
      </c>
      <c r="L28" s="114">
        <v>0</v>
      </c>
      <c r="M28" s="114">
        <v>0</v>
      </c>
      <c r="N28" s="140">
        <f t="shared" si="4"/>
        <v>24000</v>
      </c>
      <c r="O28" s="153"/>
      <c r="R28"/>
      <c r="U28" s="36"/>
      <c r="W28"/>
      <c r="AE28" s="64"/>
      <c r="AF28" s="64"/>
      <c r="AG28" s="64"/>
      <c r="AN28"/>
      <c r="AP28" s="6"/>
      <c r="AQ28"/>
    </row>
    <row r="29" spans="1:43" ht="14.4" customHeight="1" x14ac:dyDescent="0.3">
      <c r="U29" s="36"/>
      <c r="V29" s="178" t="s">
        <v>111</v>
      </c>
      <c r="W29" s="178"/>
      <c r="X29" s="178"/>
      <c r="Y29" s="178"/>
      <c r="AK29"/>
      <c r="AL29"/>
      <c r="AM29"/>
      <c r="AN29"/>
      <c r="AQ29"/>
    </row>
    <row r="30" spans="1:43" ht="14.4" customHeight="1" x14ac:dyDescent="0.3">
      <c r="A30" s="86" t="s">
        <v>0</v>
      </c>
      <c r="B30" s="179" t="s">
        <v>17</v>
      </c>
      <c r="C30" s="179"/>
      <c r="D30" s="86" t="s">
        <v>1</v>
      </c>
      <c r="E30" s="119" t="s">
        <v>18</v>
      </c>
      <c r="F30" s="160" t="s">
        <v>115</v>
      </c>
      <c r="G30" s="160"/>
      <c r="H30" s="160"/>
      <c r="I30" s="160"/>
      <c r="J30" s="160"/>
      <c r="K30" s="160"/>
      <c r="L30" s="64"/>
      <c r="M30" s="64"/>
      <c r="U30" s="36"/>
      <c r="V30" s="138" t="s">
        <v>100</v>
      </c>
      <c r="X30" s="36"/>
      <c r="Y30" s="64" t="s">
        <v>73</v>
      </c>
      <c r="AK30"/>
      <c r="AL30"/>
      <c r="AM30"/>
      <c r="AN30"/>
      <c r="AQ30"/>
    </row>
    <row r="31" spans="1:43" ht="14.4" customHeight="1" x14ac:dyDescent="0.3">
      <c r="A31" s="79" t="str" cm="1">
        <f t="array" ref="A31:K31">A1:K1</f>
        <v>BUSINESS</v>
      </c>
      <c r="B31" s="79" t="str">
        <v>VILLAGE</v>
      </c>
      <c r="C31" s="79" t="str">
        <v>MAKE</v>
      </c>
      <c r="D31" s="79" t="str">
        <v>MODEL</v>
      </c>
      <c r="E31" s="79" t="str">
        <v>BAT</v>
      </c>
      <c r="F31" s="79" t="str">
        <v>RANGE</v>
      </c>
      <c r="G31" s="79" t="str">
        <v>BHP</v>
      </c>
      <c r="H31" s="79" t="str">
        <v>YEAR</v>
      </c>
      <c r="I31" s="80" t="str">
        <v>MOT</v>
      </c>
      <c r="J31" s="80" t="str">
        <v>SOLD</v>
      </c>
      <c r="K31" s="79" t="str">
        <v>PRICE</v>
      </c>
      <c r="L31" s="64"/>
      <c r="M31" s="64"/>
      <c r="U31" s="36"/>
      <c r="V31" s="139" t="s">
        <v>101</v>
      </c>
      <c r="Y31" s="6" t="s">
        <v>104</v>
      </c>
      <c r="AK31" s="178" t="s">
        <v>106</v>
      </c>
      <c r="AL31" s="178"/>
      <c r="AM31" s="178"/>
      <c r="AN31" s="178"/>
      <c r="AQ31"/>
    </row>
    <row r="32" spans="1:43" ht="14.4" customHeight="1" x14ac:dyDescent="0.3">
      <c r="A32" s="71" t="str" cm="1">
        <f t="array" ref="A32:K32">_xlfn._xlws.SORT(_xlfn.UNIQUE(_xlfn._xlws.FILTER(TBLCARS,(BUSINESS=COMBOY)*
(MAKES=ComboZ),"")))</f>
        <v>SUPERCARS LEEDS</v>
      </c>
      <c r="B32" s="208" t="str">
        <v>HIGH STREET MKT</v>
      </c>
      <c r="C32" s="26" t="str">
        <v>HYUNDAI</v>
      </c>
      <c r="D32" s="208" t="str">
        <v>IONIQ 5 AWD</v>
      </c>
      <c r="E32" s="209">
        <v>77</v>
      </c>
      <c r="F32" s="209">
        <v>268</v>
      </c>
      <c r="G32" s="209">
        <v>321</v>
      </c>
      <c r="H32" s="209">
        <v>2023</v>
      </c>
      <c r="I32" s="210">
        <v>46023</v>
      </c>
      <c r="J32" s="210">
        <v>45658</v>
      </c>
      <c r="K32" s="51">
        <v>18000</v>
      </c>
      <c r="M32" s="64"/>
      <c r="W32"/>
      <c r="AK32" s="142" t="str" cm="1">
        <f t="array" ref="AK32:AL35">_xlfn.LET(_xlpm.s,_xlfn.SORTBY(BUSINESS:VILLAGE,BUSINESS,,VILLAGE,),
_xlpm.a,_xlfn.SEQUENCE(ROWS(TBLCARS),,1),
_xlpm.b,_xlfn.SEQUENCE(ROWS(TBLCARS),,2),
_xlpm.ii,IFERROR(INDEX(_xlpm.s,_xlpm.a)=INDEX(_xlpm.s,_xlpm.b),FALSE),
_xlpm.f,_xlfn._xlws.FILTER(_xlpm.s,NOT(_xlpm.ii)),_xlpm.f)</f>
        <v>SUPERCARS HULL</v>
      </c>
      <c r="AL32" t="str">
        <v>ST ANDREWS QUAY</v>
      </c>
      <c r="AM32"/>
      <c r="AN32"/>
      <c r="AQ32"/>
    </row>
    <row r="33" spans="1:43" ht="14.4" customHeight="1" x14ac:dyDescent="0.3">
      <c r="A33" s="68"/>
      <c r="B33" s="81"/>
      <c r="C33" s="84"/>
      <c r="D33" s="81"/>
      <c r="E33" s="81"/>
      <c r="F33" s="81"/>
      <c r="G33" s="81"/>
      <c r="H33" s="81"/>
      <c r="I33" s="82"/>
      <c r="J33" s="82"/>
      <c r="M33"/>
      <c r="W33"/>
      <c r="X33" s="36"/>
      <c r="AK33" t="str">
        <v>SUPERCARS LEEDS</v>
      </c>
      <c r="AL33" t="str">
        <v>HIGH STREET MKT</v>
      </c>
      <c r="AM33"/>
      <c r="AN33"/>
      <c r="AQ33"/>
    </row>
    <row r="34" spans="1:43" ht="14.4" customHeight="1" x14ac:dyDescent="0.3">
      <c r="A34"/>
      <c r="B34"/>
      <c r="I34"/>
      <c r="J34"/>
      <c r="M34"/>
      <c r="X34" s="36"/>
      <c r="AK34" t="str">
        <v>SUPERCARS LINCOLN</v>
      </c>
      <c r="AL34" t="str">
        <v>MARKET STREET</v>
      </c>
      <c r="AM34"/>
      <c r="AN34"/>
      <c r="AQ34"/>
    </row>
    <row r="35" spans="1:43" x14ac:dyDescent="0.3">
      <c r="A35"/>
      <c r="B35"/>
      <c r="I35"/>
      <c r="J35"/>
      <c r="M35"/>
      <c r="X35" s="36"/>
      <c r="AK35">
        <v>0</v>
      </c>
      <c r="AL35">
        <v>0</v>
      </c>
      <c r="AM35"/>
      <c r="AN35"/>
      <c r="AQ35"/>
    </row>
    <row r="36" spans="1:43" x14ac:dyDescent="0.3">
      <c r="A36"/>
      <c r="B36"/>
      <c r="I36"/>
      <c r="J36"/>
      <c r="M36"/>
      <c r="X36" s="36"/>
      <c r="AK36"/>
      <c r="AL36"/>
      <c r="AM36"/>
      <c r="AN36"/>
      <c r="AQ36"/>
    </row>
    <row r="37" spans="1:43" x14ac:dyDescent="0.3">
      <c r="A37"/>
      <c r="B37"/>
      <c r="I37"/>
      <c r="J37"/>
      <c r="M37"/>
      <c r="O37"/>
      <c r="P37"/>
      <c r="Q37"/>
      <c r="R37"/>
      <c r="X37" s="36"/>
      <c r="Y37" s="36"/>
      <c r="AK37"/>
      <c r="AL37"/>
      <c r="AM37"/>
      <c r="AN37"/>
      <c r="AQ37"/>
    </row>
    <row r="38" spans="1:43" x14ac:dyDescent="0.3">
      <c r="A38"/>
      <c r="B38"/>
      <c r="I38"/>
      <c r="J38"/>
      <c r="M38"/>
      <c r="O38"/>
      <c r="P38"/>
      <c r="Q38"/>
      <c r="R38"/>
      <c r="X38" s="36"/>
      <c r="Y38" s="36"/>
      <c r="AK38"/>
      <c r="AL38"/>
      <c r="AM38"/>
      <c r="AN38"/>
      <c r="AQ38"/>
    </row>
    <row r="39" spans="1:43" x14ac:dyDescent="0.3">
      <c r="A39"/>
      <c r="B39"/>
      <c r="I39"/>
      <c r="J39"/>
      <c r="M39"/>
      <c r="O39"/>
      <c r="P39"/>
      <c r="Q39"/>
      <c r="R39"/>
      <c r="X39" s="36"/>
      <c r="Y39" s="36"/>
      <c r="AK39"/>
      <c r="AL39"/>
      <c r="AM39"/>
      <c r="AN39"/>
      <c r="AQ39"/>
    </row>
    <row r="40" spans="1:43" x14ac:dyDescent="0.3">
      <c r="A40"/>
      <c r="B40"/>
      <c r="I40"/>
      <c r="J40"/>
      <c r="M40"/>
      <c r="O40"/>
      <c r="P40"/>
      <c r="Q40"/>
      <c r="R40"/>
      <c r="X40" s="36"/>
      <c r="Y40" s="36"/>
      <c r="AK40"/>
      <c r="AL40"/>
      <c r="AM40"/>
      <c r="AN40"/>
      <c r="AQ40"/>
    </row>
    <row r="41" spans="1:43" x14ac:dyDescent="0.3">
      <c r="M41"/>
      <c r="O41"/>
      <c r="P41"/>
      <c r="Q41"/>
      <c r="R41"/>
      <c r="X41" s="36"/>
      <c r="Y41" s="36"/>
      <c r="AK41"/>
      <c r="AL41"/>
      <c r="AM41"/>
      <c r="AN41"/>
      <c r="AQ41"/>
    </row>
    <row r="42" spans="1:43" x14ac:dyDescent="0.3">
      <c r="M42"/>
      <c r="O42"/>
      <c r="P42"/>
      <c r="Q42"/>
      <c r="R42"/>
      <c r="X42" s="36"/>
      <c r="Y42" s="36"/>
      <c r="AK42"/>
      <c r="AL42"/>
      <c r="AM42"/>
      <c r="AN42"/>
      <c r="AQ42"/>
    </row>
    <row r="43" spans="1:43" x14ac:dyDescent="0.3">
      <c r="M43"/>
      <c r="O43"/>
      <c r="P43"/>
      <c r="Q43"/>
      <c r="R43"/>
    </row>
    <row r="44" spans="1:43" x14ac:dyDescent="0.3">
      <c r="O44"/>
      <c r="P44"/>
      <c r="Q44"/>
      <c r="R44"/>
    </row>
    <row r="45" spans="1:43" x14ac:dyDescent="0.3">
      <c r="O45"/>
      <c r="P45"/>
      <c r="Q45"/>
      <c r="R45"/>
    </row>
    <row r="46" spans="1:43" x14ac:dyDescent="0.3">
      <c r="O46"/>
    </row>
  </sheetData>
  <mergeCells count="36">
    <mergeCell ref="AK31:AN31"/>
    <mergeCell ref="F30:K30"/>
    <mergeCell ref="AQ17:AQ21"/>
    <mergeCell ref="AK14:AN14"/>
    <mergeCell ref="D19:F19"/>
    <mergeCell ref="D20:F20"/>
    <mergeCell ref="D15:E15"/>
    <mergeCell ref="D16:E16"/>
    <mergeCell ref="K14:L14"/>
    <mergeCell ref="F16:J16"/>
    <mergeCell ref="K16:L16"/>
    <mergeCell ref="D21:E21"/>
    <mergeCell ref="O26:O28"/>
    <mergeCell ref="N11:N14"/>
    <mergeCell ref="O11:R11"/>
    <mergeCell ref="T15:T18"/>
    <mergeCell ref="AK7:AN7"/>
    <mergeCell ref="B30:C30"/>
    <mergeCell ref="D13:E13"/>
    <mergeCell ref="O23:O25"/>
    <mergeCell ref="AK23:AN23"/>
    <mergeCell ref="V29:Y29"/>
    <mergeCell ref="D12:E12"/>
    <mergeCell ref="F12:J12"/>
    <mergeCell ref="D17:E17"/>
    <mergeCell ref="F17:L17"/>
    <mergeCell ref="K12:L12"/>
    <mergeCell ref="K13:L13"/>
    <mergeCell ref="F14:G14"/>
    <mergeCell ref="AF1:AG1"/>
    <mergeCell ref="D14:E14"/>
    <mergeCell ref="I14:J14"/>
    <mergeCell ref="K15:L15"/>
    <mergeCell ref="A23:A25"/>
    <mergeCell ref="X2:X4"/>
    <mergeCell ref="T2:T6"/>
  </mergeCells>
  <conditionalFormatting sqref="A26:M28">
    <cfRule type="notContainsBlanks" dxfId="2" priority="6">
      <formula>LEN(TRIM(A26))&gt;0</formula>
    </cfRule>
  </conditionalFormatting>
  <conditionalFormatting sqref="B26:M28">
    <cfRule type="cellIs" dxfId="1" priority="5" operator="equal">
      <formula>0</formula>
    </cfRule>
  </conditionalFormatting>
  <conditionalFormatting sqref="AK17:AL21">
    <cfRule type="notContainsBlanks" dxfId="0" priority="2">
      <formula>LEN(TRIM(AK17))&gt;0</formula>
    </cfRule>
  </conditionalFormatting>
  <dataValidations count="3">
    <dataValidation type="list" allowBlank="1" showInputMessage="1" showErrorMessage="1" sqref="S12:S13 N24:N25" xr:uid="{50A6EB86-4C7F-4F1C-BC36-6CAF2B3A498E}">
      <formula1>YR_CARS</formula1>
    </dataValidation>
    <dataValidation type="list" allowBlank="1" showInputMessage="1" showErrorMessage="1" sqref="B30:C30" xr:uid="{DD1631C2-4AE3-4F78-BF06-D8E430A402BD}">
      <formula1>_xlfn.ANCHORARRAY(N15)</formula1>
    </dataValidation>
    <dataValidation type="list" allowBlank="1" showInputMessage="1" showErrorMessage="1" sqref="E30" xr:uid="{D079A080-5DDF-4AFC-B627-26127613A314}">
      <formula1>_xlfn.ANCHORARRAY(AD2)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FC4FA-56DF-471A-9151-B10A27C2F08C}">
  <dimension ref="A4:E13"/>
  <sheetViews>
    <sheetView workbookViewId="0">
      <selection activeCell="A6" sqref="A6"/>
    </sheetView>
  </sheetViews>
  <sheetFormatPr defaultRowHeight="14.4" x14ac:dyDescent="0.3"/>
  <cols>
    <col min="1" max="1" width="21.21875" bestFit="1" customWidth="1"/>
    <col min="2" max="2" width="15.5546875" bestFit="1" customWidth="1"/>
    <col min="3" max="3" width="8.88671875" bestFit="1" customWidth="1"/>
    <col min="4" max="4" width="9" bestFit="1" customWidth="1"/>
    <col min="5" max="5" width="10.77734375" bestFit="1" customWidth="1"/>
    <col min="6" max="6" width="17.6640625" bestFit="1" customWidth="1"/>
    <col min="7" max="7" width="10.77734375" bestFit="1" customWidth="1"/>
  </cols>
  <sheetData>
    <row r="4" spans="1:5" x14ac:dyDescent="0.3">
      <c r="A4" s="144" t="s">
        <v>109</v>
      </c>
      <c r="B4" s="144" t="s">
        <v>110</v>
      </c>
    </row>
    <row r="5" spans="1:5" x14ac:dyDescent="0.3">
      <c r="A5" s="144" t="s">
        <v>107</v>
      </c>
      <c r="B5" t="s">
        <v>23</v>
      </c>
      <c r="C5" t="s">
        <v>18</v>
      </c>
      <c r="D5" t="s">
        <v>15</v>
      </c>
      <c r="E5" t="s">
        <v>108</v>
      </c>
    </row>
    <row r="6" spans="1:5" x14ac:dyDescent="0.3">
      <c r="A6" s="145" t="s">
        <v>20</v>
      </c>
      <c r="B6" s="36">
        <v>32000</v>
      </c>
      <c r="C6" s="36">
        <v>31000</v>
      </c>
      <c r="D6" s="36">
        <v>30000</v>
      </c>
      <c r="E6" s="36">
        <v>93000</v>
      </c>
    </row>
    <row r="7" spans="1:5" x14ac:dyDescent="0.3">
      <c r="A7" s="146" t="s">
        <v>83</v>
      </c>
      <c r="B7" s="36"/>
      <c r="C7" s="36">
        <v>15000</v>
      </c>
      <c r="D7" s="36">
        <v>10000</v>
      </c>
      <c r="E7" s="36">
        <v>25000</v>
      </c>
    </row>
    <row r="8" spans="1:5" x14ac:dyDescent="0.3">
      <c r="A8" s="146" t="s">
        <v>82</v>
      </c>
      <c r="B8" s="36"/>
      <c r="C8" s="36">
        <v>16000</v>
      </c>
      <c r="D8" s="36">
        <v>20000</v>
      </c>
      <c r="E8" s="36">
        <v>36000</v>
      </c>
    </row>
    <row r="9" spans="1:5" x14ac:dyDescent="0.3">
      <c r="A9" s="146" t="s">
        <v>84</v>
      </c>
      <c r="B9" s="36">
        <v>32000</v>
      </c>
      <c r="C9" s="36"/>
      <c r="D9" s="36"/>
      <c r="E9" s="36">
        <v>32000</v>
      </c>
    </row>
    <row r="10" spans="1:5" x14ac:dyDescent="0.3">
      <c r="A10" s="145" t="s">
        <v>17</v>
      </c>
      <c r="B10" s="36"/>
      <c r="C10" s="36">
        <v>18000</v>
      </c>
      <c r="D10" s="36"/>
      <c r="E10" s="36">
        <v>18000</v>
      </c>
    </row>
    <row r="11" spans="1:5" x14ac:dyDescent="0.3">
      <c r="A11" s="145" t="s">
        <v>22</v>
      </c>
      <c r="B11" s="36">
        <v>15000</v>
      </c>
      <c r="C11" s="36"/>
      <c r="D11" s="36">
        <v>9000</v>
      </c>
      <c r="E11" s="36">
        <v>24000</v>
      </c>
    </row>
    <row r="12" spans="1:5" x14ac:dyDescent="0.3">
      <c r="A12" s="146" t="s">
        <v>85</v>
      </c>
      <c r="B12" s="36">
        <v>15000</v>
      </c>
      <c r="C12" s="36"/>
      <c r="D12" s="36">
        <v>9000</v>
      </c>
      <c r="E12" s="36">
        <v>24000</v>
      </c>
    </row>
    <row r="13" spans="1:5" x14ac:dyDescent="0.3">
      <c r="A13" s="145" t="s">
        <v>108</v>
      </c>
      <c r="B13" s="36">
        <v>47000</v>
      </c>
      <c r="C13" s="36">
        <v>49000</v>
      </c>
      <c r="D13" s="36">
        <v>39000</v>
      </c>
      <c r="E13" s="36">
        <v>135000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41</vt:i4>
      </vt:variant>
    </vt:vector>
  </HeadingPairs>
  <TitlesOfParts>
    <vt:vector size="45" baseType="lpstr">
      <vt:lpstr>SUM DYNAMIC LEDGER</vt:lpstr>
      <vt:lpstr>LET 1 CELL QUESTION</vt:lpstr>
      <vt:lpstr>SUM DYN LEDGER 2COL</vt:lpstr>
      <vt:lpstr>PIVOT TBL 2COL</vt:lpstr>
      <vt:lpstr>'LET 1 CELL QUESTION'!BUSINESS</vt:lpstr>
      <vt:lpstr>'SUM DYN LEDGER 2COL'!BUSINESS</vt:lpstr>
      <vt:lpstr>BUSINESS</vt:lpstr>
      <vt:lpstr>'LET 1 CELL QUESTION'!COMBOY</vt:lpstr>
      <vt:lpstr>'SUM DYN LEDGER 2COL'!COMBOY</vt:lpstr>
      <vt:lpstr>COMBOY</vt:lpstr>
      <vt:lpstr>'LET 1 CELL QUESTION'!ComboZ</vt:lpstr>
      <vt:lpstr>'SUM DYN LEDGER 2COL'!ComboZ</vt:lpstr>
      <vt:lpstr>ComboZ</vt:lpstr>
      <vt:lpstr>'LET 1 CELL QUESTION'!MAKES</vt:lpstr>
      <vt:lpstr>'SUM DYN LEDGER 2COL'!MAKES</vt:lpstr>
      <vt:lpstr>MAKES</vt:lpstr>
      <vt:lpstr>'LET 1 CELL QUESTION'!MODELS</vt:lpstr>
      <vt:lpstr>'SUM DYN LEDGER 2COL'!MODELS</vt:lpstr>
      <vt:lpstr>MODELS</vt:lpstr>
      <vt:lpstr>'SUM DYN LEDGER 2COL'!MTH_END</vt:lpstr>
      <vt:lpstr>MTH_END</vt:lpstr>
      <vt:lpstr>'SUM DYN LEDGER 2COL'!MTH_START</vt:lpstr>
      <vt:lpstr>MTH_START</vt:lpstr>
      <vt:lpstr>'LET 1 CELL QUESTION'!PRICES</vt:lpstr>
      <vt:lpstr>'SUM DYN LEDGER 2COL'!PRICES</vt:lpstr>
      <vt:lpstr>PRICES</vt:lpstr>
      <vt:lpstr>'LET 1 CELL QUESTION'!QTR_E</vt:lpstr>
      <vt:lpstr>'SUM DYN LEDGER 2COL'!QTR_E</vt:lpstr>
      <vt:lpstr>QTR_E</vt:lpstr>
      <vt:lpstr>'LET 1 CELL QUESTION'!QTR_S</vt:lpstr>
      <vt:lpstr>'SUM DYN LEDGER 2COL'!QTR_S</vt:lpstr>
      <vt:lpstr>QTR_S</vt:lpstr>
      <vt:lpstr>'LET 1 CELL QUESTION'!SOLD</vt:lpstr>
      <vt:lpstr>'SUM DYN LEDGER 2COL'!SOLD</vt:lpstr>
      <vt:lpstr>SOLD</vt:lpstr>
      <vt:lpstr>'LET 1 CELL QUESTION'!SuperCars</vt:lpstr>
      <vt:lpstr>'SUM DYN LEDGER 2COL'!SuperCars</vt:lpstr>
      <vt:lpstr>SuperCars</vt:lpstr>
      <vt:lpstr>'LET 1 CELL QUESTION'!TBLCARS</vt:lpstr>
      <vt:lpstr>'SUM DYN LEDGER 2COL'!TBLCARS</vt:lpstr>
      <vt:lpstr>TBLCARS</vt:lpstr>
      <vt:lpstr>VILLAGE</vt:lpstr>
      <vt:lpstr>'LET 1 CELL QUESTION'!YR_CARS</vt:lpstr>
      <vt:lpstr>'SUM DYN LEDGER 2COL'!YR_CARS</vt:lpstr>
      <vt:lpstr>YR_CARS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 Rands</dc:creator>
  <cp:lastModifiedBy>Stephan Rands</cp:lastModifiedBy>
  <dcterms:created xsi:type="dcterms:W3CDTF">2026-01-10T01:05:13Z</dcterms:created>
  <dcterms:modified xsi:type="dcterms:W3CDTF">2026-01-11T01:50:57Z</dcterms:modified>
</cp:coreProperties>
</file>