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9FD2D5D-0244-41AC-96FB-C0BCE13F12F0}" xr6:coauthVersionLast="47" xr6:coauthVersionMax="47" xr10:uidLastSave="{00000000-0000-0000-0000-000000000000}"/>
  <bookViews>
    <workbookView xWindow="-108" yWindow="-108" windowWidth="23256" windowHeight="12576" xr2:uid="{747745DD-CC16-4050-B3C2-50DAC72F28EE}"/>
  </bookViews>
  <sheets>
    <sheet name="CH Gas Tech" sheetId="1" r:id="rId1"/>
  </sheets>
  <definedNames>
    <definedName name="_xlnm.Print_Area" localSheetId="0">'CH Gas Tech'!$AA$1:$AM$32</definedName>
    <definedName name="TI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A51" i="1"/>
  <c r="H47" i="1"/>
  <c r="I43" i="1"/>
  <c r="K43" i="1" s="1"/>
  <c r="H43" i="1"/>
  <c r="G43" i="1"/>
  <c r="AJ42" i="1"/>
  <c r="AI42" i="1"/>
  <c r="AF42" i="1"/>
  <c r="H42" i="1"/>
  <c r="I42" i="1" s="1"/>
  <c r="G42" i="1"/>
  <c r="AI41" i="1"/>
  <c r="AJ41" i="1" s="1"/>
  <c r="AF41" i="1"/>
  <c r="K41" i="1"/>
  <c r="J41" i="1"/>
  <c r="I41" i="1"/>
  <c r="H41" i="1"/>
  <c r="G41" i="1"/>
  <c r="A41" i="1"/>
  <c r="A42" i="1" s="1"/>
  <c r="A43" i="1" s="1"/>
  <c r="AJ40" i="1"/>
  <c r="AI40" i="1"/>
  <c r="AF40" i="1"/>
  <c r="I40" i="1"/>
  <c r="K40" i="1" s="1"/>
  <c r="H40" i="1"/>
  <c r="G40" i="1"/>
  <c r="A40" i="1"/>
  <c r="AJ39" i="1"/>
  <c r="AI39" i="1"/>
  <c r="AF39" i="1"/>
  <c r="H39" i="1"/>
  <c r="Q39" i="1" s="1"/>
  <c r="Q43" i="1" s="1"/>
  <c r="AJ38" i="1"/>
  <c r="AI38" i="1"/>
  <c r="AF38" i="1"/>
  <c r="AA38" i="1"/>
  <c r="AA39" i="1" s="1"/>
  <c r="AA40" i="1" s="1"/>
  <c r="AA41" i="1" s="1"/>
  <c r="AA42" i="1" s="1"/>
  <c r="AJ37" i="1"/>
  <c r="AI37" i="1"/>
  <c r="AF37" i="1"/>
  <c r="M34" i="1"/>
  <c r="H34" i="1"/>
  <c r="I34" i="1" s="1"/>
  <c r="G34" i="1"/>
  <c r="M33" i="1"/>
  <c r="H33" i="1"/>
  <c r="I33" i="1" s="1"/>
  <c r="G33" i="1"/>
  <c r="AD32" i="1"/>
  <c r="AG30" i="1" s="1"/>
  <c r="AH31" i="1" s="1"/>
  <c r="M32" i="1"/>
  <c r="H32" i="1"/>
  <c r="I32" i="1" s="1"/>
  <c r="G32" i="1"/>
  <c r="R31" i="1"/>
  <c r="Q36" i="1" s="1"/>
  <c r="Q31" i="1"/>
  <c r="Q35" i="1" s="1"/>
  <c r="M31" i="1"/>
  <c r="J31" i="1"/>
  <c r="I31" i="1"/>
  <c r="L31" i="1" s="1"/>
  <c r="K31" i="1" s="1"/>
  <c r="H31" i="1"/>
  <c r="G31" i="1"/>
  <c r="M30" i="1"/>
  <c r="H30" i="1"/>
  <c r="I30" i="1" s="1"/>
  <c r="G30" i="1"/>
  <c r="AD29" i="1"/>
  <c r="AG27" i="1" s="1"/>
  <c r="M29" i="1"/>
  <c r="J29" i="1"/>
  <c r="I29" i="1"/>
  <c r="L29" i="1" s="1"/>
  <c r="K29" i="1" s="1"/>
  <c r="H29" i="1"/>
  <c r="G29" i="1"/>
  <c r="M28" i="1"/>
  <c r="J28" i="1"/>
  <c r="I28" i="1"/>
  <c r="L28" i="1" s="1"/>
  <c r="K28" i="1" s="1"/>
  <c r="H28" i="1"/>
  <c r="G28" i="1"/>
  <c r="A28" i="1"/>
  <c r="A29" i="1" s="1"/>
  <c r="A30" i="1" s="1"/>
  <c r="A31" i="1" s="1"/>
  <c r="A32" i="1" s="1"/>
  <c r="A33" i="1" s="1"/>
  <c r="A34" i="1" s="1"/>
  <c r="M27" i="1"/>
  <c r="H27" i="1"/>
  <c r="I27" i="1" s="1"/>
  <c r="G27" i="1"/>
  <c r="A27" i="1"/>
  <c r="AD26" i="1"/>
  <c r="AG24" i="1" s="1"/>
  <c r="AH25" i="1" s="1"/>
  <c r="M26" i="1"/>
  <c r="H26" i="1"/>
  <c r="I26" i="1" s="1"/>
  <c r="G26" i="1"/>
  <c r="A26" i="1"/>
  <c r="R25" i="1"/>
  <c r="T25" i="1" s="1"/>
  <c r="M25" i="1"/>
  <c r="J25" i="1"/>
  <c r="I25" i="1"/>
  <c r="L25" i="1" s="1"/>
  <c r="K25" i="1" s="1"/>
  <c r="H25" i="1"/>
  <c r="G25" i="1"/>
  <c r="K20" i="1"/>
  <c r="J20" i="1"/>
  <c r="I20" i="1"/>
  <c r="H20" i="1"/>
  <c r="I19" i="1"/>
  <c r="K19" i="1" s="1"/>
  <c r="H19" i="1"/>
  <c r="I18" i="1"/>
  <c r="K18" i="1" s="1"/>
  <c r="H18" i="1"/>
  <c r="D18" i="1"/>
  <c r="A18" i="1"/>
  <c r="A19" i="1" s="1"/>
  <c r="A20" i="1" s="1"/>
  <c r="I17" i="1"/>
  <c r="J18" i="1" s="1"/>
  <c r="H17" i="1"/>
  <c r="A17" i="1"/>
  <c r="K16" i="1"/>
  <c r="J16" i="1"/>
  <c r="I16" i="1"/>
  <c r="H16" i="1"/>
  <c r="K11" i="1"/>
  <c r="J11" i="1"/>
  <c r="I11" i="1"/>
  <c r="H11" i="1"/>
  <c r="G11" i="1"/>
  <c r="I10" i="1"/>
  <c r="K10" i="1" s="1"/>
  <c r="H10" i="1"/>
  <c r="G10" i="1"/>
  <c r="AG9" i="1"/>
  <c r="AH9" i="1" s="1"/>
  <c r="AF9" i="1"/>
  <c r="AC9" i="1"/>
  <c r="K9" i="1"/>
  <c r="J9" i="1"/>
  <c r="I9" i="1"/>
  <c r="H9" i="1"/>
  <c r="G9" i="1"/>
  <c r="AF8" i="1"/>
  <c r="AC8" i="1"/>
  <c r="AG8" i="1" s="1"/>
  <c r="AH8" i="1" s="1"/>
  <c r="H8" i="1"/>
  <c r="I8" i="1" s="1"/>
  <c r="G8" i="1"/>
  <c r="AF7" i="1"/>
  <c r="AC7" i="1"/>
  <c r="AG7" i="1" s="1"/>
  <c r="AH7" i="1" s="1"/>
  <c r="I7" i="1"/>
  <c r="K7" i="1" s="1"/>
  <c r="H7" i="1"/>
  <c r="G7" i="1"/>
  <c r="A7" i="1"/>
  <c r="A8" i="1" s="1"/>
  <c r="A9" i="1" s="1"/>
  <c r="A10" i="1" s="1"/>
  <c r="A11" i="1" s="1"/>
  <c r="AH6" i="1"/>
  <c r="AJ6" i="1" s="1"/>
  <c r="AG6" i="1"/>
  <c r="AF6" i="1"/>
  <c r="AC6" i="1"/>
  <c r="H6" i="1"/>
  <c r="I6" i="1" s="1"/>
  <c r="G6" i="1"/>
  <c r="A6" i="1"/>
  <c r="AF5" i="1"/>
  <c r="AC5" i="1"/>
  <c r="AG5" i="1" s="1"/>
  <c r="AH5" i="1" s="1"/>
  <c r="Q5" i="1"/>
  <c r="Q10" i="1" s="1"/>
  <c r="I5" i="1"/>
  <c r="R15" i="1" s="1"/>
  <c r="H5" i="1"/>
  <c r="Q15" i="1" s="1"/>
  <c r="Q20" i="1" s="1"/>
  <c r="G5" i="1"/>
  <c r="A5" i="1"/>
  <c r="AG4" i="1"/>
  <c r="AC23" i="1" s="1"/>
  <c r="AD23" i="1" s="1"/>
  <c r="AG21" i="1" s="1"/>
  <c r="AF4" i="1"/>
  <c r="J4" i="1"/>
  <c r="I4" i="1"/>
  <c r="R5" i="1" s="1"/>
  <c r="H4" i="1"/>
  <c r="G4" i="1"/>
  <c r="R26" i="1"/>
  <c r="T26" i="1" s="1"/>
  <c r="AJ5" i="1" l="1"/>
  <c r="AI25" i="1"/>
  <c r="AJ25" i="1"/>
  <c r="L32" i="1"/>
  <c r="K32" i="1" s="1"/>
  <c r="J32" i="1"/>
  <c r="AI8" i="1"/>
  <c r="AJ8" i="1"/>
  <c r="AH13" i="1"/>
  <c r="AC13" i="1"/>
  <c r="AI13" i="1"/>
  <c r="AD13" i="1"/>
  <c r="AG13" i="1"/>
  <c r="AJ13" i="1"/>
  <c r="AE13" i="1"/>
  <c r="L26" i="1"/>
  <c r="K26" i="1" s="1"/>
  <c r="J26" i="1"/>
  <c r="J30" i="1"/>
  <c r="L30" i="1"/>
  <c r="K30" i="1" s="1"/>
  <c r="R36" i="1"/>
  <c r="T36" i="1"/>
  <c r="W36" i="1" s="1"/>
  <c r="S36" i="1"/>
  <c r="AI31" i="1"/>
  <c r="AJ31" i="1"/>
  <c r="T43" i="1"/>
  <c r="W43" i="1" s="1"/>
  <c r="S43" i="1"/>
  <c r="R43" i="1"/>
  <c r="K42" i="1"/>
  <c r="J42" i="1"/>
  <c r="K6" i="1"/>
  <c r="J6" i="1"/>
  <c r="K8" i="1"/>
  <c r="J8" i="1"/>
  <c r="J33" i="1"/>
  <c r="L33" i="1"/>
  <c r="K33" i="1" s="1"/>
  <c r="V20" i="1"/>
  <c r="R20" i="1"/>
  <c r="U20" i="1"/>
  <c r="W20" i="1"/>
  <c r="S20" i="1"/>
  <c r="T20" i="1"/>
  <c r="AJ7" i="1"/>
  <c r="R35" i="1"/>
  <c r="T35" i="1"/>
  <c r="W35" i="1" s="1"/>
  <c r="S35" i="1"/>
  <c r="S15" i="1"/>
  <c r="Q21" i="1"/>
  <c r="AJ9" i="1"/>
  <c r="V26" i="1"/>
  <c r="Q11" i="1"/>
  <c r="S5" i="1"/>
  <c r="T10" i="1"/>
  <c r="U10" i="1"/>
  <c r="W10" i="1"/>
  <c r="S10" i="1"/>
  <c r="V10" i="1"/>
  <c r="R10" i="1"/>
  <c r="L19" i="1"/>
  <c r="J27" i="1"/>
  <c r="L27" i="1"/>
  <c r="K27" i="1" s="1"/>
  <c r="J34" i="1"/>
  <c r="L34" i="1"/>
  <c r="K34" i="1" s="1"/>
  <c r="J40" i="1"/>
  <c r="J43" i="1"/>
  <c r="K4" i="1"/>
  <c r="AH4" i="1"/>
  <c r="AI7" i="1" s="1"/>
  <c r="J5" i="1"/>
  <c r="AI6" i="1"/>
  <c r="J10" i="1"/>
  <c r="L16" i="1"/>
  <c r="J17" i="1"/>
  <c r="J19" i="1"/>
  <c r="L20" i="1"/>
  <c r="R24" i="1"/>
  <c r="T24" i="1" s="1"/>
  <c r="V25" i="1" s="1"/>
  <c r="S31" i="1"/>
  <c r="Q33" i="1" s="1"/>
  <c r="I39" i="1"/>
  <c r="K5" i="1"/>
  <c r="K17" i="1"/>
  <c r="L18" i="1"/>
  <c r="J7" i="1"/>
  <c r="L17" i="1"/>
  <c r="L10" i="1" l="1"/>
  <c r="L5" i="1"/>
  <c r="L8" i="1"/>
  <c r="L7" i="1"/>
  <c r="L4" i="1"/>
  <c r="L11" i="1"/>
  <c r="L9" i="1"/>
  <c r="L6" i="1"/>
  <c r="V11" i="1"/>
  <c r="R11" i="1"/>
  <c r="W11" i="1"/>
  <c r="S11" i="1"/>
  <c r="U11" i="1"/>
  <c r="T11" i="1"/>
  <c r="AI9" i="1"/>
  <c r="S33" i="1"/>
  <c r="S41" i="1"/>
  <c r="W21" i="1"/>
  <c r="S21" i="1"/>
  <c r="V21" i="1"/>
  <c r="R21" i="1"/>
  <c r="T21" i="1"/>
  <c r="U21" i="1"/>
  <c r="K39" i="1"/>
  <c r="R39" i="1"/>
  <c r="Q44" i="1" s="1"/>
  <c r="J39" i="1"/>
  <c r="Q18" i="1"/>
  <c r="T13" i="1"/>
  <c r="T33" i="1"/>
  <c r="W33" i="1" s="1"/>
  <c r="R33" i="1"/>
  <c r="AJ4" i="1"/>
  <c r="AI4" i="1"/>
  <c r="Q8" i="1"/>
  <c r="T3" i="1"/>
  <c r="V35" i="1"/>
  <c r="U35" i="1"/>
  <c r="U43" i="1"/>
  <c r="V43" i="1"/>
  <c r="V36" i="1"/>
  <c r="U36" i="1"/>
  <c r="AI5" i="1"/>
  <c r="U18" i="1" l="1"/>
  <c r="V18" i="1"/>
  <c r="R18" i="1"/>
  <c r="T18" i="1"/>
  <c r="W18" i="1"/>
  <c r="S18" i="1"/>
  <c r="L42" i="1"/>
  <c r="S39" i="1"/>
  <c r="Q41" i="1" s="1"/>
  <c r="L43" i="1"/>
  <c r="L40" i="1"/>
  <c r="L41" i="1"/>
  <c r="L39" i="1"/>
  <c r="AK6" i="1"/>
  <c r="AK9" i="1"/>
  <c r="AK8" i="1"/>
  <c r="AK7" i="1"/>
  <c r="AK5" i="1"/>
  <c r="AK4" i="1"/>
  <c r="W8" i="1"/>
  <c r="S8" i="1"/>
  <c r="T8" i="1"/>
  <c r="V8" i="1"/>
  <c r="R8" i="1"/>
  <c r="U8" i="1"/>
  <c r="U33" i="1"/>
  <c r="V33" i="1"/>
  <c r="R44" i="1"/>
  <c r="T44" i="1"/>
  <c r="W44" i="1" s="1"/>
  <c r="S44" i="1"/>
  <c r="V44" i="1" l="1"/>
  <c r="U44" i="1"/>
  <c r="R41" i="1"/>
  <c r="T41" i="1"/>
  <c r="W41" i="1" s="1"/>
  <c r="V41" i="1" l="1"/>
  <c r="U41" i="1"/>
</calcChain>
</file>

<file path=xl/sharedStrings.xml><?xml version="1.0" encoding="utf-8"?>
<sst xmlns="http://schemas.openxmlformats.org/spreadsheetml/2006/main" count="223" uniqueCount="110">
  <si>
    <r>
      <t>M3 GAS METER &gt; (</t>
    </r>
    <r>
      <rPr>
        <b/>
        <u/>
        <sz val="10"/>
        <color rgb="FFFF0000"/>
        <rFont val="Calibri"/>
        <family val="2"/>
        <scheme val="minor"/>
      </rPr>
      <t>CH ON</t>
    </r>
    <r>
      <rPr>
        <b/>
        <u/>
        <sz val="10"/>
        <rFont val="Calibri"/>
        <family val="2"/>
        <scheme val="minor"/>
      </rPr>
      <t>)</t>
    </r>
  </si>
  <si>
    <t>CH: GAS ONLY £</t>
  </si>
  <si>
    <t>OLD GAS METER 1HR READINGS : UNITS</t>
  </si>
  <si>
    <t>NO</t>
  </si>
  <si>
    <t>LO/HI</t>
  </si>
  <si>
    <t>ºc</t>
  </si>
  <si>
    <t>GAS METER START M3</t>
  </si>
  <si>
    <t>GAS M3
METER
END</t>
  </si>
  <si>
    <t>ºC</t>
  </si>
  <si>
    <r>
      <t xml:space="preserve">Temp ºC </t>
    </r>
    <r>
      <rPr>
        <b/>
        <sz val="10"/>
        <rFont val="Calibri"/>
        <family val="2"/>
        <scheme val="minor"/>
      </rPr>
      <t>+</t>
    </r>
  </si>
  <si>
    <t>GAS 
M3</t>
  </si>
  <si>
    <t>GAS KWH</t>
  </si>
  <si>
    <t>Av GAS KWH</t>
  </si>
  <si>
    <t>£ G HR</t>
  </si>
  <si>
    <r>
      <t>£ G</t>
    </r>
    <r>
      <rPr>
        <b/>
        <sz val="6"/>
        <rFont val="Calibri"/>
        <family val="2"/>
        <scheme val="minor"/>
      </rPr>
      <t xml:space="preserve"> 
Cum Total</t>
    </r>
  </si>
  <si>
    <t>REF</t>
  </si>
  <si>
    <t>GAS METER START</t>
  </si>
  <si>
    <t>GAS
METER
END</t>
  </si>
  <si>
    <r>
      <t xml:space="preserve">Temp ºC </t>
    </r>
    <r>
      <rPr>
        <sz val="10"/>
        <rFont val="Calibri"/>
        <family val="2"/>
        <scheme val="minor"/>
      </rPr>
      <t>+</t>
    </r>
  </si>
  <si>
    <t>GAS UNITS p/h</t>
  </si>
  <si>
    <t>Av.GAS KWH p/h</t>
  </si>
  <si>
    <r>
      <t>£ G</t>
    </r>
    <r>
      <rPr>
        <sz val="6"/>
        <rFont val="Calibri"/>
        <family val="2"/>
        <scheme val="minor"/>
      </rPr>
      <t xml:space="preserve"> Cum Total</t>
    </r>
  </si>
  <si>
    <r>
      <t xml:space="preserve">CH </t>
    </r>
    <r>
      <rPr>
        <b/>
        <u/>
        <sz val="10"/>
        <color rgb="FFFF0000"/>
        <rFont val="Calibri"/>
        <family val="2"/>
        <scheme val="minor"/>
      </rPr>
      <t>LOW</t>
    </r>
    <r>
      <rPr>
        <b/>
        <sz val="10"/>
        <rFont val="Calibri"/>
        <family val="2"/>
        <scheme val="minor"/>
      </rPr>
      <t xml:space="preserve"> GAS £ HR: M3</t>
    </r>
  </si>
  <si>
    <r>
      <t xml:space="preserve">SWITCH: </t>
    </r>
    <r>
      <rPr>
        <b/>
        <u/>
        <sz val="18"/>
        <color rgb="FFFF0000"/>
        <rFont val="Calibri"/>
        <family val="2"/>
        <scheme val="minor"/>
      </rPr>
      <t>LO</t>
    </r>
  </si>
  <si>
    <t>LO</t>
  </si>
  <si>
    <t>CH LO</t>
  </si>
  <si>
    <t>HR</t>
  </si>
  <si>
    <t>Gas M3</t>
  </si>
  <si>
    <t>G KWH</t>
  </si>
  <si>
    <t>£ G p/h</t>
  </si>
  <si>
    <t>HI</t>
  </si>
  <si>
    <t>CH HI</t>
  </si>
  <si>
    <r>
      <t>CH (</t>
    </r>
    <r>
      <rPr>
        <b/>
        <sz val="10"/>
        <color rgb="FFFF0000"/>
        <rFont val="Calibri"/>
        <family val="2"/>
        <scheme val="minor"/>
      </rPr>
      <t>LO: SWITCH</t>
    </r>
    <r>
      <rPr>
        <b/>
        <sz val="10"/>
        <rFont val="Calibri"/>
        <family val="2"/>
        <scheme val="minor"/>
      </rPr>
      <t>) GAS COST CUMULATIVE TOTAL per Hour</t>
    </r>
  </si>
  <si>
    <t>£</t>
  </si>
  <si>
    <t>G M3</t>
  </si>
  <si>
    <t>OLD GAS METER CH GAS COST CUMULATIVE TOTAL per Hour</t>
  </si>
  <si>
    <r>
      <t xml:space="preserve">M3 GAS METER: CH IDLE </t>
    </r>
    <r>
      <rPr>
        <i/>
        <sz val="10"/>
        <rFont val="Calibri"/>
        <family val="2"/>
        <scheme val="minor"/>
      </rPr>
      <t>LOW SWITCH</t>
    </r>
    <r>
      <rPr>
        <b/>
        <sz val="10"/>
        <rFont val="Calibri"/>
        <family val="2"/>
        <scheme val="minor"/>
      </rPr>
      <t xml:space="preserve"> &gt; (</t>
    </r>
    <r>
      <rPr>
        <b/>
        <u/>
        <sz val="10"/>
        <color rgb="FFFF0000"/>
        <rFont val="Calibri"/>
        <family val="2"/>
        <scheme val="minor"/>
      </rPr>
      <t>PILOT</t>
    </r>
    <r>
      <rPr>
        <b/>
        <sz val="10"/>
        <rFont val="Calibri"/>
        <family val="2"/>
        <scheme val="minor"/>
      </rPr>
      <t xml:space="preserve">) </t>
    </r>
    <r>
      <rPr>
        <b/>
        <sz val="10"/>
        <color rgb="FFFF0000"/>
        <rFont val="Calibri"/>
        <family val="2"/>
        <scheme val="minor"/>
      </rPr>
      <t>1 HR</t>
    </r>
  </si>
  <si>
    <r>
      <t xml:space="preserve">CH </t>
    </r>
    <r>
      <rPr>
        <b/>
        <u/>
        <sz val="10"/>
        <color rgb="FFFF0000"/>
        <rFont val="Calibri"/>
        <family val="2"/>
        <scheme val="minor"/>
      </rPr>
      <t>HIGH</t>
    </r>
    <r>
      <rPr>
        <b/>
        <sz val="10"/>
        <rFont val="Calibri"/>
        <family val="2"/>
        <scheme val="minor"/>
      </rPr>
      <t xml:space="preserve"> GAS £ HR: M3</t>
    </r>
  </si>
  <si>
    <r>
      <t xml:space="preserve">SWITCH: </t>
    </r>
    <r>
      <rPr>
        <b/>
        <u/>
        <sz val="18"/>
        <color rgb="FFFF0000"/>
        <rFont val="Calibri"/>
        <family val="2"/>
        <scheme val="minor"/>
      </rPr>
      <t>HI</t>
    </r>
  </si>
  <si>
    <t>START: HR</t>
  </si>
  <si>
    <t>END: HR</t>
  </si>
  <si>
    <r>
      <t xml:space="preserve">HR
</t>
    </r>
    <r>
      <rPr>
        <sz val="6"/>
        <rFont val="Calibri"/>
        <family val="2"/>
        <scheme val="minor"/>
      </rPr>
      <t>Number</t>
    </r>
  </si>
  <si>
    <t>IDLE LO</t>
  </si>
  <si>
    <r>
      <t>CH (</t>
    </r>
    <r>
      <rPr>
        <b/>
        <sz val="10"/>
        <color rgb="FFFF0000"/>
        <rFont val="Calibri"/>
        <family val="2"/>
        <scheme val="minor"/>
      </rPr>
      <t>HI: SWITCH</t>
    </r>
    <r>
      <rPr>
        <b/>
        <sz val="10"/>
        <rFont val="Calibri"/>
        <family val="2"/>
        <scheme val="minor"/>
      </rPr>
      <t>) GAS COST CUMULATIVE TOTAL per Hour</t>
    </r>
  </si>
  <si>
    <t>GAS M³ X 1.02264 X 39.98 / 3.6 = GAS KWH
GAS KWH / 1.02264 / 39.98 * 3.6 = GAS M3</t>
  </si>
  <si>
    <t>Gas M³ &gt; Gas KWH</t>
  </si>
  <si>
    <r>
      <t>CH</t>
    </r>
    <r>
      <rPr>
        <sz val="8"/>
        <rFont val="Calibri"/>
        <family val="2"/>
        <scheme val="minor"/>
      </rPr>
      <t xml:space="preserve"> (Pre M3)</t>
    </r>
  </si>
  <si>
    <r>
      <t xml:space="preserve">CH GAS COST Hour: </t>
    </r>
    <r>
      <rPr>
        <b/>
        <u/>
        <sz val="8"/>
        <rFont val="Calibri"/>
        <family val="2"/>
        <scheme val="minor"/>
      </rPr>
      <t>Pre new Thermo</t>
    </r>
  </si>
  <si>
    <r>
      <t xml:space="preserve">M3 GAS METER: CH IDLE </t>
    </r>
    <r>
      <rPr>
        <i/>
        <sz val="10"/>
        <rFont val="Calibri"/>
        <family val="2"/>
        <scheme val="minor"/>
      </rPr>
      <t>LOW SWITCH</t>
    </r>
    <r>
      <rPr>
        <b/>
        <sz val="10"/>
        <rFont val="Calibri"/>
        <family val="2"/>
        <scheme val="minor"/>
      </rPr>
      <t xml:space="preserve"> &gt; (</t>
    </r>
    <r>
      <rPr>
        <b/>
        <u/>
        <sz val="10"/>
        <color rgb="FFFF0000"/>
        <rFont val="Calibri"/>
        <family val="2"/>
        <scheme val="minor"/>
      </rPr>
      <t>PILOT</t>
    </r>
    <r>
      <rPr>
        <b/>
        <sz val="10"/>
        <rFont val="Calibri"/>
        <family val="2"/>
        <scheme val="minor"/>
      </rPr>
      <t xml:space="preserve">) </t>
    </r>
    <r>
      <rPr>
        <b/>
        <sz val="10"/>
        <color rgb="FFFF0000"/>
        <rFont val="Calibri"/>
        <family val="2"/>
        <scheme val="minor"/>
      </rPr>
      <t>1HR+</t>
    </r>
  </si>
  <si>
    <t>Gas Unit HR</t>
  </si>
  <si>
    <t>Gas KWH H</t>
  </si>
  <si>
    <t>£ G HRS Total</t>
  </si>
  <si>
    <r>
      <rPr>
        <b/>
        <sz val="9"/>
        <rFont val="Calibri"/>
        <family val="2"/>
        <scheme val="minor"/>
      </rPr>
      <t xml:space="preserve">HR LONG
</t>
    </r>
    <r>
      <rPr>
        <sz val="8"/>
        <rFont val="Calibri"/>
        <family val="2"/>
        <scheme val="minor"/>
      </rPr>
      <t>DECIMAL</t>
    </r>
  </si>
  <si>
    <t>BOILER KW</t>
  </si>
  <si>
    <t>GAS cost £ HR</t>
  </si>
  <si>
    <t>CH HR circa</t>
  </si>
  <si>
    <t>DIFF</t>
  </si>
  <si>
    <r>
      <t xml:space="preserve">CH IDLE GAS HOUR: </t>
    </r>
    <r>
      <rPr>
        <b/>
        <u/>
        <sz val="8"/>
        <rFont val="Calibri"/>
        <family val="2"/>
        <scheme val="minor"/>
      </rPr>
      <t>Pre new Thermo</t>
    </r>
  </si>
  <si>
    <t>DAY</t>
  </si>
  <si>
    <t>MTH</t>
  </si>
  <si>
    <t>YEAR</t>
  </si>
  <si>
    <r>
      <t xml:space="preserve">DHW </t>
    </r>
    <r>
      <rPr>
        <sz val="8"/>
        <rFont val="Calibri"/>
        <family val="2"/>
        <scheme val="minor"/>
      </rPr>
      <t>(Gone)</t>
    </r>
  </si>
  <si>
    <t>DHW GAS COST per 10 Litres</t>
  </si>
  <si>
    <t>IDLE PILOT: GAS £</t>
  </si>
  <si>
    <t>MINS</t>
  </si>
  <si>
    <t>Gas Units</t>
  </si>
  <si>
    <t>Gas KWH</t>
  </si>
  <si>
    <t>£ G</t>
  </si>
  <si>
    <r>
      <t>CH IDLE (</t>
    </r>
    <r>
      <rPr>
        <b/>
        <sz val="11"/>
        <color rgb="FFFF0000"/>
        <rFont val="Calibri"/>
        <family val="2"/>
        <scheme val="minor"/>
      </rPr>
      <t>LOW</t>
    </r>
    <r>
      <rPr>
        <b/>
        <sz val="11"/>
        <rFont val="Calibri"/>
        <family val="2"/>
        <scheme val="minor"/>
      </rPr>
      <t>): COST EST</t>
    </r>
  </si>
  <si>
    <t>DHW IDLE GAS CONSUMPTION</t>
  </si>
  <si>
    <t>QRTR</t>
  </si>
  <si>
    <t>GAS NOTEPAD</t>
  </si>
  <si>
    <t>CUSTOM</t>
  </si>
  <si>
    <t>Calc HR</t>
  </si>
  <si>
    <t>START TIME</t>
  </si>
  <si>
    <t>END
TIME</t>
  </si>
  <si>
    <t>METER START</t>
  </si>
  <si>
    <t>METER
END</t>
  </si>
  <si>
    <r>
      <rPr>
        <b/>
        <sz val="10"/>
        <rFont val="Calibri"/>
        <family val="2"/>
        <scheme val="minor"/>
      </rPr>
      <t>HR</t>
    </r>
    <r>
      <rPr>
        <sz val="8"/>
        <rFont val="Calibri"/>
        <family val="2"/>
        <scheme val="minor"/>
      </rPr>
      <t xml:space="preserve"> Decimal No</t>
    </r>
  </si>
  <si>
    <t>H:MM</t>
  </si>
  <si>
    <r>
      <t xml:space="preserve">M3 GAS METER: CH IDLE </t>
    </r>
    <r>
      <rPr>
        <i/>
        <sz val="10"/>
        <rFont val="Calibri"/>
        <family val="2"/>
        <scheme val="minor"/>
      </rPr>
      <t>HIGH SWITCH</t>
    </r>
    <r>
      <rPr>
        <b/>
        <sz val="10"/>
        <rFont val="Calibri"/>
        <family val="2"/>
        <scheme val="minor"/>
      </rPr>
      <t xml:space="preserve"> &gt; (</t>
    </r>
    <r>
      <rPr>
        <b/>
        <u/>
        <sz val="10"/>
        <color rgb="FFFF0000"/>
        <rFont val="Calibri"/>
        <family val="2"/>
        <scheme val="minor"/>
      </rPr>
      <t>PILOT ONLY</t>
    </r>
    <r>
      <rPr>
        <b/>
        <sz val="10"/>
        <rFont val="Calibri"/>
        <family val="2"/>
        <scheme val="minor"/>
      </rPr>
      <t>)</t>
    </r>
  </si>
  <si>
    <t>SUB</t>
  </si>
  <si>
    <t>SAME DAY</t>
  </si>
  <si>
    <r>
      <t>CH IDLE (</t>
    </r>
    <r>
      <rPr>
        <b/>
        <sz val="11"/>
        <color rgb="FFFF0000"/>
        <rFont val="Calibri"/>
        <family val="2"/>
        <scheme val="minor"/>
      </rPr>
      <t>HIGH</t>
    </r>
    <r>
      <rPr>
        <b/>
        <sz val="11"/>
        <rFont val="Calibri"/>
        <family val="2"/>
        <scheme val="minor"/>
      </rPr>
      <t>): COST EST</t>
    </r>
  </si>
  <si>
    <r>
      <t xml:space="preserve">SWITCH: </t>
    </r>
    <r>
      <rPr>
        <b/>
        <u/>
        <sz val="14"/>
        <color rgb="FFFF0000"/>
        <rFont val="Calibri"/>
        <family val="2"/>
        <scheme val="minor"/>
      </rPr>
      <t>HI</t>
    </r>
  </si>
  <si>
    <t>IDLE HI</t>
  </si>
  <si>
    <t>MOD</t>
  </si>
  <si>
    <r>
      <t xml:space="preserve">NEXT
DAY </t>
    </r>
    <r>
      <rPr>
        <u/>
        <sz val="8"/>
        <rFont val="Calibri"/>
        <family val="2"/>
        <scheme val="minor"/>
      </rPr>
      <t xml:space="preserve">&lt; </t>
    </r>
    <r>
      <rPr>
        <sz val="8"/>
        <rFont val="Calibri"/>
        <family val="2"/>
        <scheme val="minor"/>
      </rPr>
      <t>24H</t>
    </r>
  </si>
  <si>
    <t>DECIMAL Correct</t>
  </si>
  <si>
    <t>INT</t>
  </si>
  <si>
    <r>
      <t xml:space="preserve">NEXT
DAY </t>
    </r>
    <r>
      <rPr>
        <u/>
        <sz val="8"/>
        <rFont val="Calibri"/>
        <family val="2"/>
        <scheme val="minor"/>
      </rPr>
      <t xml:space="preserve">&gt; </t>
    </r>
    <r>
      <rPr>
        <sz val="8"/>
        <rFont val="Calibri"/>
        <family val="2"/>
        <scheme val="minor"/>
      </rPr>
      <t>24H</t>
    </r>
  </si>
  <si>
    <t>NOTE</t>
  </si>
  <si>
    <t>SAME DAY?</t>
  </si>
  <si>
    <t>=IF(DATE(YEAR(C25),MONTH(C25),DAY(C25))=DATE(YEAR(F25),MONTH(F25),DAY(F25)),"Same Day","Different Day")</t>
  </si>
  <si>
    <t>GAS M3 &gt; GAS KWH</t>
  </si>
  <si>
    <t>M3 GU</t>
  </si>
  <si>
    <t>Correct Factor</t>
  </si>
  <si>
    <t>Cal Value</t>
  </si>
  <si>
    <t>Conv Factor</t>
  </si>
  <si>
    <t>SAME HRS</t>
  </si>
  <si>
    <t>=(F25-C25)*24</t>
  </si>
  <si>
    <t>24 HRS+</t>
  </si>
  <si>
    <t>IF(F25-C25&gt;=TIME(23,59,59)</t>
  </si>
  <si>
    <t>HR: INT</t>
  </si>
  <si>
    <t>=MOD(F25-C25,1)*24</t>
  </si>
  <si>
    <t>NEXT DAY &gt;24 : HR -HR ONLY</t>
  </si>
  <si>
    <t xml:space="preserve">GAS KWH &gt; GAS M3 </t>
  </si>
  <si>
    <t>HR: MOD</t>
  </si>
  <si>
    <t>=IF(E25&lt;&gt;0,INT((F25-C25)*24),"")</t>
  </si>
  <si>
    <t>NEXT DAY &gt;24 : HR UN= OK + 00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</si>
</sst>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CH HOUR&quot;\ &quot;£&quot;0.00"/>
    <numFmt numFmtId="165" formatCode="0.000"/>
    <numFmt numFmtId="166" formatCode="0.0\ &quot;C&quot;"/>
    <numFmt numFmtId="167" formatCode="0.0000"/>
    <numFmt numFmtId="168" formatCode="&quot;£&quot;#,##0.00"/>
    <numFmt numFmtId="169" formatCode="#,##0.000"/>
    <numFmt numFmtId="170" formatCode="&quot;£&quot;#,##0"/>
    <numFmt numFmtId="171" formatCode="[hh]:mm"/>
    <numFmt numFmtId="172" formatCode="&quot;£&quot;#,##0.000"/>
    <numFmt numFmtId="173" formatCode="h:mm"/>
    <numFmt numFmtId="174" formatCode="0\ &quot;KW&quot;"/>
    <numFmt numFmtId="175" formatCode="&quot;£&quot;0.00\ &quot;+&quot;"/>
    <numFmt numFmtId="176" formatCode="[h]:mm"/>
    <numFmt numFmtId="177" formatCode="&quot;£&quot;#,##0.00\ &quot;p/YR&quot;"/>
    <numFmt numFmtId="178" formatCode="0.0"/>
  </numFmts>
  <fonts count="28" x14ac:knownFonts="1">
    <font>
      <sz val="10"/>
      <name val="Arial"/>
      <family val="2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</font>
    <font>
      <b/>
      <sz val="11"/>
      <name val="Calibri"/>
      <family val="2"/>
      <scheme val="minor"/>
    </font>
    <font>
      <b/>
      <u/>
      <sz val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u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textRotation="18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167" fontId="1" fillId="7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168" fontId="1" fillId="7" borderId="1" xfId="0" applyNumberFormat="1" applyFont="1" applyFill="1" applyBorder="1" applyAlignment="1">
      <alignment vertical="center"/>
    </xf>
    <xf numFmtId="168" fontId="4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2" fontId="14" fillId="7" borderId="14" xfId="0" applyNumberFormat="1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1" fillId="7" borderId="1" xfId="0" applyNumberFormat="1" applyFont="1" applyFill="1" applyBorder="1" applyAlignment="1">
      <alignment horizontal="center" vertical="center"/>
    </xf>
    <xf numFmtId="168" fontId="1" fillId="7" borderId="1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3" borderId="28" xfId="0" applyNumberFormat="1" applyFont="1" applyFill="1" applyBorder="1" applyAlignment="1">
      <alignment horizontal="center" vertical="center"/>
    </xf>
    <xf numFmtId="168" fontId="1" fillId="7" borderId="29" xfId="0" applyNumberFormat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10" borderId="1" xfId="0" applyNumberFormat="1" applyFont="1" applyFill="1" applyBorder="1" applyAlignment="1">
      <alignment vertical="center"/>
    </xf>
    <xf numFmtId="168" fontId="1" fillId="0" borderId="0" xfId="0" applyNumberFormat="1" applyFont="1" applyAlignment="1">
      <alignment horizontal="center" vertical="center" textRotation="180"/>
    </xf>
    <xf numFmtId="0" fontId="4" fillId="0" borderId="3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4" fillId="0" borderId="28" xfId="0" applyNumberFormat="1" applyFont="1" applyBorder="1" applyAlignment="1">
      <alignment vertical="center"/>
    </xf>
    <xf numFmtId="2" fontId="4" fillId="0" borderId="28" xfId="0" applyNumberFormat="1" applyFont="1" applyBorder="1" applyAlignment="1">
      <alignment horizontal="center" vertical="center"/>
    </xf>
    <xf numFmtId="2" fontId="1" fillId="7" borderId="28" xfId="0" applyNumberFormat="1" applyFont="1" applyFill="1" applyBorder="1" applyAlignment="1">
      <alignment horizontal="center" vertical="center"/>
    </xf>
    <xf numFmtId="168" fontId="1" fillId="7" borderId="28" xfId="0" applyNumberFormat="1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169" fontId="16" fillId="10" borderId="7" xfId="0" applyNumberFormat="1" applyFont="1" applyFill="1" applyBorder="1" applyAlignment="1">
      <alignment horizontal="center" vertical="center"/>
    </xf>
    <xf numFmtId="169" fontId="16" fillId="0" borderId="7" xfId="0" applyNumberFormat="1" applyFont="1" applyBorder="1" applyAlignment="1">
      <alignment horizontal="center" vertical="center"/>
    </xf>
    <xf numFmtId="169" fontId="16" fillId="0" borderId="8" xfId="0" applyNumberFormat="1" applyFont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 textRotation="180"/>
    </xf>
    <xf numFmtId="2" fontId="4" fillId="0" borderId="0" xfId="0" applyNumberFormat="1" applyFont="1" applyAlignment="1">
      <alignment vertical="center"/>
    </xf>
    <xf numFmtId="4" fontId="16" fillId="11" borderId="28" xfId="0" applyNumberFormat="1" applyFont="1" applyFill="1" applyBorder="1" applyAlignment="1">
      <alignment horizontal="center" vertical="center"/>
    </xf>
    <xf numFmtId="4" fontId="16" fillId="0" borderId="28" xfId="0" applyNumberFormat="1" applyFont="1" applyBorder="1" applyAlignment="1">
      <alignment horizontal="center" vertical="center"/>
    </xf>
    <xf numFmtId="4" fontId="16" fillId="0" borderId="29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1" fontId="20" fillId="0" borderId="1" xfId="0" applyNumberFormat="1" applyFont="1" applyBorder="1" applyAlignment="1">
      <alignment horizontal="center" vertical="center" wrapText="1"/>
    </xf>
    <xf numFmtId="172" fontId="1" fillId="7" borderId="1" xfId="0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" fontId="4" fillId="10" borderId="1" xfId="0" applyNumberFormat="1" applyFont="1" applyFill="1" applyBorder="1" applyAlignment="1">
      <alignment vertical="center"/>
    </xf>
    <xf numFmtId="172" fontId="4" fillId="10" borderId="1" xfId="0" applyNumberFormat="1" applyFont="1" applyFill="1" applyBorder="1" applyAlignment="1">
      <alignment vertical="center"/>
    </xf>
    <xf numFmtId="172" fontId="4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4" fillId="0" borderId="28" xfId="0" applyNumberFormat="1" applyFont="1" applyBorder="1" applyAlignment="1">
      <alignment horizontal="center" vertical="center"/>
    </xf>
    <xf numFmtId="174" fontId="1" fillId="0" borderId="0" xfId="0" applyNumberFormat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5" fontId="4" fillId="0" borderId="0" xfId="0" applyNumberFormat="1" applyFont="1" applyAlignment="1">
      <alignment horizontal="center" vertical="center"/>
    </xf>
    <xf numFmtId="20" fontId="24" fillId="0" borderId="1" xfId="0" applyNumberFormat="1" applyFont="1" applyBorder="1" applyAlignment="1">
      <alignment horizontal="center" vertical="center"/>
    </xf>
    <xf numFmtId="1" fontId="1" fillId="12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2" fontId="14" fillId="7" borderId="7" xfId="0" applyNumberFormat="1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1" fontId="4" fillId="10" borderId="1" xfId="0" applyNumberFormat="1" applyFont="1" applyFill="1" applyBorder="1" applyAlignment="1">
      <alignment horizontal="center" vertical="center"/>
    </xf>
    <xf numFmtId="172" fontId="1" fillId="10" borderId="1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horizontal="center" vertical="center"/>
    </xf>
    <xf numFmtId="168" fontId="1" fillId="3" borderId="29" xfId="0" applyNumberFormat="1" applyFont="1" applyFill="1" applyBorder="1" applyAlignment="1">
      <alignment horizontal="center" vertical="center"/>
    </xf>
    <xf numFmtId="0" fontId="1" fillId="7" borderId="60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2" fontId="4" fillId="0" borderId="61" xfId="0" applyNumberFormat="1" applyFont="1" applyBorder="1" applyAlignment="1">
      <alignment vertical="center"/>
    </xf>
    <xf numFmtId="2" fontId="4" fillId="0" borderId="61" xfId="0" applyNumberFormat="1" applyFont="1" applyBorder="1" applyAlignment="1">
      <alignment horizontal="center" vertical="center"/>
    </xf>
    <xf numFmtId="172" fontId="4" fillId="0" borderId="61" xfId="0" applyNumberFormat="1" applyFont="1" applyBorder="1" applyAlignment="1">
      <alignment vertical="center"/>
    </xf>
    <xf numFmtId="168" fontId="4" fillId="0" borderId="61" xfId="0" applyNumberFormat="1" applyFont="1" applyBorder="1" applyAlignment="1">
      <alignment vertical="center"/>
    </xf>
    <xf numFmtId="169" fontId="16" fillId="0" borderId="37" xfId="0" applyNumberFormat="1" applyFont="1" applyBorder="1" applyAlignment="1">
      <alignment horizontal="center" vertical="center"/>
    </xf>
    <xf numFmtId="169" fontId="16" fillId="0" borderId="59" xfId="0" applyNumberFormat="1" applyFont="1" applyBorder="1" applyAlignment="1">
      <alignment horizontal="center" vertical="center"/>
    </xf>
    <xf numFmtId="1" fontId="16" fillId="0" borderId="8" xfId="0" applyNumberFormat="1" applyFont="1" applyBorder="1" applyAlignment="1">
      <alignment horizontal="center" vertical="center"/>
    </xf>
    <xf numFmtId="4" fontId="16" fillId="0" borderId="49" xfId="0" applyNumberFormat="1" applyFont="1" applyBorder="1" applyAlignment="1">
      <alignment horizontal="center" vertical="center"/>
    </xf>
    <xf numFmtId="4" fontId="16" fillId="0" borderId="35" xfId="0" applyNumberFormat="1" applyFont="1" applyBorder="1" applyAlignment="1">
      <alignment horizontal="center" vertical="center"/>
    </xf>
    <xf numFmtId="1" fontId="16" fillId="0" borderId="2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0" fontId="16" fillId="0" borderId="0" xfId="0" applyNumberFormat="1" applyFont="1" applyAlignment="1">
      <alignment horizontal="center" vertical="center"/>
    </xf>
    <xf numFmtId="170" fontId="17" fillId="0" borderId="0" xfId="0" applyNumberFormat="1" applyFont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20" fontId="12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1" fontId="4" fillId="0" borderId="59" xfId="0" applyNumberFormat="1" applyFont="1" applyBorder="1" applyAlignment="1">
      <alignment horizontal="center" vertical="center"/>
    </xf>
    <xf numFmtId="173" fontId="4" fillId="0" borderId="8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20" fontId="12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6" fontId="4" fillId="0" borderId="9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1" fontId="4" fillId="0" borderId="35" xfId="0" applyNumberFormat="1" applyFont="1" applyBorder="1" applyAlignment="1">
      <alignment horizontal="center" vertical="center"/>
    </xf>
    <xf numFmtId="173" fontId="4" fillId="0" borderId="2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4" fillId="0" borderId="44" xfId="0" applyFont="1" applyBorder="1" applyAlignment="1">
      <alignment vertical="center"/>
    </xf>
    <xf numFmtId="1" fontId="4" fillId="10" borderId="59" xfId="0" applyNumberFormat="1" applyFont="1" applyFill="1" applyBorder="1" applyAlignment="1">
      <alignment horizontal="center" vertical="center"/>
    </xf>
    <xf numFmtId="173" fontId="4" fillId="7" borderId="8" xfId="0" applyNumberFormat="1" applyFont="1" applyFill="1" applyBorder="1" applyAlignment="1">
      <alignment horizontal="center" vertical="center"/>
    </xf>
    <xf numFmtId="2" fontId="4" fillId="10" borderId="35" xfId="0" applyNumberFormat="1" applyFont="1" applyFill="1" applyBorder="1" applyAlignment="1">
      <alignment horizontal="center" vertical="center"/>
    </xf>
    <xf numFmtId="173" fontId="4" fillId="7" borderId="29" xfId="0" applyNumberFormat="1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176" fontId="4" fillId="7" borderId="8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" fontId="4" fillId="10" borderId="35" xfId="0" applyNumberFormat="1" applyFont="1" applyFill="1" applyBorder="1" applyAlignment="1">
      <alignment horizontal="center" vertical="center"/>
    </xf>
    <xf numFmtId="176" fontId="4" fillId="7" borderId="29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12" borderId="45" xfId="0" applyFont="1" applyFill="1" applyBorder="1" applyAlignment="1">
      <alignment horizontal="center" vertical="center"/>
    </xf>
    <xf numFmtId="2" fontId="14" fillId="8" borderId="45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2" fontId="18" fillId="0" borderId="0" xfId="0" quotePrefix="1" applyNumberFormat="1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/>
    </xf>
    <xf numFmtId="164" fontId="6" fillId="7" borderId="4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0" xfId="0" applyNumberFormat="1" applyFont="1" applyFill="1" applyAlignment="1">
      <alignment horizontal="center" vertical="center"/>
    </xf>
    <xf numFmtId="164" fontId="6" fillId="7" borderId="11" xfId="0" applyNumberFormat="1" applyFont="1" applyFill="1" applyBorder="1" applyAlignment="1">
      <alignment horizontal="center" vertical="center"/>
    </xf>
    <xf numFmtId="164" fontId="6" fillId="7" borderId="30" xfId="0" applyNumberFormat="1" applyFont="1" applyFill="1" applyBorder="1" applyAlignment="1">
      <alignment horizontal="center" vertical="center"/>
    </xf>
    <xf numFmtId="164" fontId="6" fillId="7" borderId="31" xfId="0" applyNumberFormat="1" applyFont="1" applyFill="1" applyBorder="1" applyAlignment="1">
      <alignment horizontal="center" vertical="center"/>
    </xf>
    <xf numFmtId="164" fontId="6" fillId="7" borderId="32" xfId="0" applyNumberFormat="1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 textRotation="180"/>
    </xf>
    <xf numFmtId="164" fontId="6" fillId="0" borderId="23" xfId="0" applyNumberFormat="1" applyFont="1" applyBorder="1" applyAlignment="1">
      <alignment horizontal="center" vertical="center" textRotation="180"/>
    </xf>
    <xf numFmtId="164" fontId="6" fillId="0" borderId="36" xfId="0" applyNumberFormat="1" applyFont="1" applyBorder="1" applyAlignment="1">
      <alignment horizontal="center" vertical="center" textRotation="180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8" fontId="17" fillId="0" borderId="25" xfId="0" applyNumberFormat="1" applyFont="1" applyBorder="1" applyAlignment="1">
      <alignment horizontal="center" vertical="center"/>
    </xf>
    <xf numFmtId="168" fontId="17" fillId="0" borderId="13" xfId="0" applyNumberFormat="1" applyFont="1" applyBorder="1" applyAlignment="1">
      <alignment horizontal="center" vertical="center"/>
    </xf>
    <xf numFmtId="0" fontId="1" fillId="7" borderId="5" xfId="0" applyFont="1" applyFill="1" applyBorder="1" applyAlignment="1">
      <alignment vertical="center"/>
    </xf>
    <xf numFmtId="0" fontId="1" fillId="7" borderId="33" xfId="0" applyFont="1" applyFill="1" applyBorder="1" applyAlignment="1">
      <alignment vertical="center"/>
    </xf>
    <xf numFmtId="0" fontId="1" fillId="7" borderId="35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8" fontId="16" fillId="3" borderId="1" xfId="0" applyNumberFormat="1" applyFont="1" applyFill="1" applyBorder="1" applyAlignment="1">
      <alignment horizontal="center" vertical="center"/>
    </xf>
    <xf numFmtId="168" fontId="16" fillId="3" borderId="9" xfId="0" applyNumberFormat="1" applyFont="1" applyFill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168" fontId="17" fillId="0" borderId="9" xfId="0" applyNumberFormat="1" applyFont="1" applyBorder="1" applyAlignment="1">
      <alignment horizontal="center" vertical="center"/>
    </xf>
    <xf numFmtId="168" fontId="6" fillId="0" borderId="18" xfId="0" applyNumberFormat="1" applyFont="1" applyBorder="1" applyAlignment="1">
      <alignment horizontal="center" vertical="center" textRotation="180"/>
    </xf>
    <xf numFmtId="168" fontId="6" fillId="0" borderId="23" xfId="0" applyNumberFormat="1" applyFont="1" applyBorder="1" applyAlignment="1">
      <alignment horizontal="center" vertical="center" textRotation="180"/>
    </xf>
    <xf numFmtId="168" fontId="6" fillId="0" borderId="36" xfId="0" applyNumberFormat="1" applyFont="1" applyBorder="1" applyAlignment="1">
      <alignment horizontal="center" vertical="center" textRotation="180"/>
    </xf>
    <xf numFmtId="0" fontId="4" fillId="0" borderId="3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168" fontId="16" fillId="3" borderId="28" xfId="0" applyNumberFormat="1" applyFont="1" applyFill="1" applyBorder="1" applyAlignment="1">
      <alignment horizontal="center" vertical="center"/>
    </xf>
    <xf numFmtId="168" fontId="17" fillId="0" borderId="28" xfId="0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/>
    </xf>
    <xf numFmtId="170" fontId="4" fillId="0" borderId="42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168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68" fontId="4" fillId="0" borderId="40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8" fontId="17" fillId="0" borderId="2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textRotation="180"/>
    </xf>
    <xf numFmtId="0" fontId="21" fillId="7" borderId="23" xfId="0" applyFont="1" applyFill="1" applyBorder="1" applyAlignment="1">
      <alignment horizontal="center" vertical="center" textRotation="180"/>
    </xf>
    <xf numFmtId="0" fontId="21" fillId="7" borderId="36" xfId="0" applyFont="1" applyFill="1" applyBorder="1" applyAlignment="1">
      <alignment horizontal="center" vertical="center" textRotation="180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68" fontId="23" fillId="0" borderId="2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68" fontId="1" fillId="7" borderId="1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68" fontId="1" fillId="3" borderId="49" xfId="0" applyNumberFormat="1" applyFont="1" applyFill="1" applyBorder="1" applyAlignment="1">
      <alignment horizontal="center" vertical="center"/>
    </xf>
    <xf numFmtId="168" fontId="1" fillId="3" borderId="50" xfId="0" applyNumberFormat="1" applyFont="1" applyFill="1" applyBorder="1" applyAlignment="1">
      <alignment horizontal="center" vertical="center"/>
    </xf>
    <xf numFmtId="174" fontId="1" fillId="0" borderId="1" xfId="0" applyNumberFormat="1" applyFont="1" applyBorder="1" applyAlignment="1">
      <alignment horizontal="center" vertical="center"/>
    </xf>
    <xf numFmtId="172" fontId="4" fillId="0" borderId="1" xfId="0" applyNumberFormat="1" applyFont="1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8" fontId="4" fillId="0" borderId="12" xfId="0" applyNumberFormat="1" applyFont="1" applyBorder="1" applyAlignment="1">
      <alignment horizontal="center" vertical="center" wrapText="1"/>
    </xf>
    <xf numFmtId="168" fontId="4" fillId="0" borderId="57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8" fontId="4" fillId="0" borderId="58" xfId="0" applyNumberFormat="1" applyFont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 wrapText="1"/>
    </xf>
    <xf numFmtId="170" fontId="4" fillId="0" borderId="42" xfId="0" applyNumberFormat="1" applyFont="1" applyBorder="1" applyAlignment="1">
      <alignment horizontal="center" vertical="center" wrapText="1"/>
    </xf>
    <xf numFmtId="175" fontId="4" fillId="0" borderId="1" xfId="0" applyNumberFormat="1" applyFont="1" applyBorder="1" applyAlignment="1">
      <alignment horizontal="center" vertical="center"/>
    </xf>
    <xf numFmtId="168" fontId="1" fillId="7" borderId="49" xfId="0" applyNumberFormat="1" applyFont="1" applyFill="1" applyBorder="1" applyAlignment="1">
      <alignment horizontal="center" vertical="center"/>
    </xf>
    <xf numFmtId="168" fontId="1" fillId="7" borderId="50" xfId="0" applyNumberFormat="1" applyFont="1" applyFill="1" applyBorder="1" applyAlignment="1">
      <alignment horizontal="center" vertical="center"/>
    </xf>
    <xf numFmtId="168" fontId="4" fillId="0" borderId="51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168" fontId="1" fillId="0" borderId="49" xfId="0" applyNumberFormat="1" applyFont="1" applyBorder="1" applyAlignment="1">
      <alignment horizontal="center" vertical="center"/>
    </xf>
    <xf numFmtId="168" fontId="1" fillId="0" borderId="50" xfId="0" applyNumberFormat="1" applyFont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textRotation="180"/>
    </xf>
    <xf numFmtId="0" fontId="1" fillId="7" borderId="23" xfId="0" applyFont="1" applyFill="1" applyBorder="1" applyAlignment="1">
      <alignment horizontal="center" vertical="center" textRotation="180"/>
    </xf>
    <xf numFmtId="0" fontId="1" fillId="7" borderId="36" xfId="0" applyFont="1" applyFill="1" applyBorder="1" applyAlignment="1">
      <alignment horizontal="center" vertical="center" textRotation="180"/>
    </xf>
    <xf numFmtId="174" fontId="5" fillId="4" borderId="2" xfId="0" applyNumberFormat="1" applyFont="1" applyFill="1" applyBorder="1" applyAlignment="1">
      <alignment horizontal="center" vertical="center"/>
    </xf>
    <xf numFmtId="174" fontId="5" fillId="4" borderId="3" xfId="0" applyNumberFormat="1" applyFont="1" applyFill="1" applyBorder="1" applyAlignment="1">
      <alignment horizontal="center" vertical="center"/>
    </xf>
    <xf numFmtId="174" fontId="5" fillId="4" borderId="4" xfId="0" applyNumberFormat="1" applyFont="1" applyFill="1" applyBorder="1" applyAlignment="1">
      <alignment horizontal="center" vertical="center"/>
    </xf>
    <xf numFmtId="174" fontId="5" fillId="4" borderId="10" xfId="0" applyNumberFormat="1" applyFont="1" applyFill="1" applyBorder="1" applyAlignment="1">
      <alignment horizontal="center" vertical="center"/>
    </xf>
    <xf numFmtId="174" fontId="5" fillId="4" borderId="0" xfId="0" applyNumberFormat="1" applyFont="1" applyFill="1" applyAlignment="1">
      <alignment horizontal="center" vertical="center"/>
    </xf>
    <xf numFmtId="174" fontId="5" fillId="4" borderId="11" xfId="0" applyNumberFormat="1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/>
    </xf>
    <xf numFmtId="0" fontId="12" fillId="0" borderId="64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170" fontId="17" fillId="0" borderId="55" xfId="0" applyNumberFormat="1" applyFont="1" applyBorder="1" applyAlignment="1">
      <alignment horizontal="center" vertical="center"/>
    </xf>
    <xf numFmtId="170" fontId="17" fillId="0" borderId="62" xfId="0" applyNumberFormat="1" applyFont="1" applyBorder="1" applyAlignment="1">
      <alignment horizontal="center" vertical="center"/>
    </xf>
    <xf numFmtId="170" fontId="17" fillId="0" borderId="47" xfId="0" applyNumberFormat="1" applyFont="1" applyBorder="1" applyAlignment="1">
      <alignment horizontal="center" vertical="center"/>
    </xf>
    <xf numFmtId="170" fontId="17" fillId="0" borderId="63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vertical="center"/>
    </xf>
    <xf numFmtId="0" fontId="18" fillId="0" borderId="51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168" fontId="16" fillId="0" borderId="61" xfId="0" applyNumberFormat="1" applyFont="1" applyBorder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170" fontId="16" fillId="0" borderId="62" xfId="0" applyNumberFormat="1" applyFont="1" applyBorder="1" applyAlignment="1">
      <alignment horizontal="center" vertical="center"/>
    </xf>
    <xf numFmtId="170" fontId="16" fillId="0" borderId="23" xfId="0" applyNumberFormat="1" applyFont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 textRotation="180"/>
    </xf>
    <xf numFmtId="0" fontId="9" fillId="3" borderId="24" xfId="0" applyFont="1" applyFill="1" applyBorder="1" applyAlignment="1">
      <alignment horizontal="center" vertical="center" textRotation="180"/>
    </xf>
    <xf numFmtId="0" fontId="9" fillId="3" borderId="51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168" fontId="23" fillId="0" borderId="18" xfId="0" applyNumberFormat="1" applyFont="1" applyBorder="1" applyAlignment="1">
      <alignment horizontal="center" vertical="center" textRotation="180"/>
    </xf>
    <xf numFmtId="168" fontId="23" fillId="0" borderId="23" xfId="0" applyNumberFormat="1" applyFont="1" applyBorder="1" applyAlignment="1">
      <alignment horizontal="center" vertical="center" textRotation="180"/>
    </xf>
    <xf numFmtId="168" fontId="23" fillId="0" borderId="36" xfId="0" applyNumberFormat="1" applyFont="1" applyBorder="1" applyAlignment="1">
      <alignment horizontal="center" vertical="center" textRotation="180"/>
    </xf>
    <xf numFmtId="0" fontId="9" fillId="8" borderId="24" xfId="0" applyFont="1" applyFill="1" applyBorder="1" applyAlignment="1">
      <alignment horizontal="center" vertical="center" textRotation="180"/>
    </xf>
    <xf numFmtId="0" fontId="12" fillId="8" borderId="55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textRotation="180"/>
    </xf>
    <xf numFmtId="0" fontId="9" fillId="12" borderId="35" xfId="0" applyFont="1" applyFill="1" applyBorder="1" applyAlignment="1">
      <alignment horizontal="center" vertical="center" textRotation="180"/>
    </xf>
    <xf numFmtId="0" fontId="12" fillId="12" borderId="55" xfId="0" applyFont="1" applyFill="1" applyBorder="1" applyAlignment="1">
      <alignment horizontal="center" vertical="center" wrapText="1"/>
    </xf>
    <xf numFmtId="0" fontId="12" fillId="12" borderId="5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 wrapText="1"/>
    </xf>
    <xf numFmtId="2" fontId="18" fillId="0" borderId="1" xfId="0" quotePrefix="1" applyNumberFormat="1" applyFont="1" applyBorder="1" applyAlignment="1">
      <alignment vertical="center" wrapText="1"/>
    </xf>
    <xf numFmtId="2" fontId="18" fillId="0" borderId="1" xfId="0" quotePrefix="1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7" borderId="4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168" fontId="16" fillId="0" borderId="31" xfId="0" applyNumberFormat="1" applyFont="1" applyBorder="1" applyAlignment="1">
      <alignment horizontal="center" vertical="center"/>
    </xf>
    <xf numFmtId="170" fontId="16" fillId="0" borderId="36" xfId="0" applyNumberFormat="1" applyFont="1" applyBorder="1" applyAlignment="1">
      <alignment horizontal="center" vertical="center"/>
    </xf>
    <xf numFmtId="170" fontId="17" fillId="0" borderId="56" xfId="0" applyNumberFormat="1" applyFont="1" applyBorder="1" applyAlignment="1">
      <alignment horizontal="center" vertical="center"/>
    </xf>
    <xf numFmtId="170" fontId="17" fillId="0" borderId="50" xfId="0" applyNumberFormat="1" applyFont="1" applyBorder="1" applyAlignment="1">
      <alignment horizontal="center" vertical="center"/>
    </xf>
    <xf numFmtId="177" fontId="1" fillId="13" borderId="44" xfId="0" applyNumberFormat="1" applyFont="1" applyFill="1" applyBorder="1" applyAlignment="1">
      <alignment horizontal="center" vertical="center" wrapText="1"/>
    </xf>
    <xf numFmtId="177" fontId="1" fillId="13" borderId="43" xfId="0" applyNumberFormat="1" applyFont="1" applyFill="1" applyBorder="1" applyAlignment="1">
      <alignment horizontal="center" vertical="center" wrapText="1"/>
    </xf>
    <xf numFmtId="177" fontId="1" fillId="13" borderId="45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45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2" fontId="18" fillId="0" borderId="44" xfId="0" quotePrefix="1" applyNumberFormat="1" applyFont="1" applyBorder="1" applyAlignment="1">
      <alignment vertical="center" wrapText="1"/>
    </xf>
    <xf numFmtId="2" fontId="18" fillId="0" borderId="43" xfId="0" quotePrefix="1" applyNumberFormat="1" applyFont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0" fontId="1" fillId="13" borderId="44" xfId="0" applyFont="1" applyFill="1" applyBorder="1" applyAlignment="1">
      <alignment horizontal="center" vertical="center"/>
    </xf>
    <xf numFmtId="0" fontId="1" fillId="13" borderId="45" xfId="0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vertical="center"/>
    </xf>
    <xf numFmtId="165" fontId="4" fillId="0" borderId="67" xfId="0" applyNumberFormat="1" applyFont="1" applyBorder="1" applyAlignment="1">
      <alignment vertical="center"/>
    </xf>
    <xf numFmtId="167" fontId="4" fillId="0" borderId="67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172" fontId="4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0" fontId="14" fillId="0" borderId="5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 wrapText="1"/>
    </xf>
    <xf numFmtId="2" fontId="18" fillId="0" borderId="7" xfId="0" quotePrefix="1" applyNumberFormat="1" applyFont="1" applyBorder="1" applyAlignment="1">
      <alignment vertical="center" wrapText="1"/>
    </xf>
    <xf numFmtId="2" fontId="18" fillId="0" borderId="8" xfId="0" quotePrefix="1" applyNumberFormat="1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2" fontId="18" fillId="0" borderId="25" xfId="0" quotePrefix="1" applyNumberFormat="1" applyFont="1" applyBorder="1" applyAlignment="1">
      <alignment vertical="center" wrapText="1"/>
    </xf>
    <xf numFmtId="2" fontId="18" fillId="0" borderId="47" xfId="0" quotePrefix="1" applyNumberFormat="1" applyFont="1" applyBorder="1" applyAlignment="1">
      <alignment vertical="center" wrapText="1"/>
    </xf>
    <xf numFmtId="2" fontId="18" fillId="0" borderId="25" xfId="0" applyNumberFormat="1" applyFont="1" applyBorder="1" applyAlignment="1">
      <alignment vertical="center" wrapText="1"/>
    </xf>
    <xf numFmtId="0" fontId="14" fillId="0" borderId="25" xfId="0" applyFont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2" fontId="14" fillId="0" borderId="28" xfId="0" applyNumberFormat="1" applyFont="1" applyBorder="1" applyAlignment="1">
      <alignment horizontal="center" vertical="center"/>
    </xf>
    <xf numFmtId="2" fontId="18" fillId="0" borderId="28" xfId="0" quotePrefix="1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4" fillId="0" borderId="6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165" fontId="4" fillId="0" borderId="61" xfId="0" applyNumberFormat="1" applyFont="1" applyBorder="1" applyAlignment="1">
      <alignment vertical="center"/>
    </xf>
    <xf numFmtId="173" fontId="4" fillId="0" borderId="61" xfId="0" applyNumberFormat="1" applyFont="1" applyBorder="1" applyAlignment="1">
      <alignment horizontal="center" vertical="center"/>
    </xf>
    <xf numFmtId="167" fontId="4" fillId="0" borderId="61" xfId="0" applyNumberFormat="1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20" fontId="12" fillId="0" borderId="28" xfId="0" applyNumberFormat="1" applyFont="1" applyBorder="1" applyAlignment="1">
      <alignment horizontal="center" vertical="center"/>
    </xf>
    <xf numFmtId="165" fontId="4" fillId="0" borderId="28" xfId="0" applyNumberFormat="1" applyFont="1" applyBorder="1" applyAlignment="1">
      <alignment vertical="center"/>
    </xf>
    <xf numFmtId="1" fontId="4" fillId="10" borderId="28" xfId="0" applyNumberFormat="1" applyFont="1" applyFill="1" applyBorder="1" applyAlignment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2" fontId="4" fillId="10" borderId="28" xfId="0" applyNumberFormat="1" applyFont="1" applyFill="1" applyBorder="1" applyAlignment="1">
      <alignment vertical="center"/>
    </xf>
    <xf numFmtId="172" fontId="1" fillId="10" borderId="28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0090-B2A1-4FCC-BF52-0D1251E0F5CC}">
  <dimension ref="A1:AM53"/>
  <sheetViews>
    <sheetView showZeros="0" tabSelected="1" topLeftCell="A10" zoomScaleNormal="100" workbookViewId="0">
      <selection activeCell="M25" sqref="M25"/>
    </sheetView>
  </sheetViews>
  <sheetFormatPr defaultRowHeight="10.95" customHeight="1" x14ac:dyDescent="0.25"/>
  <cols>
    <col min="1" max="2" width="3.44140625" style="1" customWidth="1"/>
    <col min="3" max="3" width="4.77734375" style="1" customWidth="1"/>
    <col min="4" max="4" width="8.33203125" style="1" customWidth="1"/>
    <col min="5" max="5" width="8.6640625" style="1" customWidth="1"/>
    <col min="6" max="6" width="4.77734375" style="1" customWidth="1"/>
    <col min="7" max="7" width="4.88671875" style="1" customWidth="1"/>
    <col min="8" max="8" width="7.109375" style="1" customWidth="1"/>
    <col min="9" max="9" width="5.77734375" style="1" customWidth="1"/>
    <col min="10" max="10" width="5.21875" style="1" customWidth="1"/>
    <col min="11" max="11" width="6.5546875" style="1" customWidth="1"/>
    <col min="12" max="12" width="7.109375" style="1" customWidth="1"/>
    <col min="13" max="13" width="7.44140625" style="1" customWidth="1"/>
    <col min="14" max="14" width="1.77734375" style="1" customWidth="1"/>
    <col min="15" max="15" width="3.109375" style="1" customWidth="1"/>
    <col min="16" max="16" width="3" style="1" customWidth="1"/>
    <col min="17" max="17" width="6.109375" style="1" customWidth="1"/>
    <col min="18" max="20" width="5.77734375" style="1" customWidth="1"/>
    <col min="21" max="21" width="7.109375" style="68" customWidth="1"/>
    <col min="22" max="22" width="8.77734375" style="68" customWidth="1"/>
    <col min="23" max="23" width="7.6640625" style="68" customWidth="1"/>
    <col min="24" max="24" width="4" style="68" customWidth="1"/>
    <col min="25" max="25" width="1.33203125" style="68" customWidth="1"/>
    <col min="26" max="26" width="1.88671875" style="1" customWidth="1"/>
    <col min="27" max="27" width="2.21875" style="1" customWidth="1"/>
    <col min="28" max="28" width="2.77734375" style="1" customWidth="1"/>
    <col min="29" max="29" width="8.21875" style="47" customWidth="1"/>
    <col min="30" max="30" width="7.77734375" style="47" customWidth="1"/>
    <col min="31" max="31" width="2.77734375" style="1" customWidth="1"/>
    <col min="32" max="32" width="4.77734375" style="1" customWidth="1"/>
    <col min="33" max="33" width="7.44140625" style="1" customWidth="1"/>
    <col min="34" max="34" width="7.21875" style="1" customWidth="1"/>
    <col min="35" max="35" width="7.77734375" style="1" customWidth="1"/>
    <col min="36" max="36" width="7.21875" style="1" customWidth="1"/>
    <col min="37" max="37" width="6.77734375" style="1" customWidth="1"/>
    <col min="38" max="38" width="2.5546875" style="1" customWidth="1"/>
    <col min="39" max="39" width="3.77734375" style="1" customWidth="1"/>
    <col min="40" max="16384" width="8.88671875" style="1"/>
  </cols>
  <sheetData>
    <row r="1" spans="1:39" ht="12" customHeight="1" x14ac:dyDescent="0.25">
      <c r="A1" s="159" t="s">
        <v>0</v>
      </c>
      <c r="B1" s="159"/>
      <c r="C1" s="159"/>
      <c r="D1" s="160"/>
      <c r="E1" s="160"/>
      <c r="F1" s="160"/>
      <c r="G1" s="160"/>
      <c r="H1" s="160"/>
      <c r="I1" s="161">
        <v>6.3100000000000003E-2</v>
      </c>
      <c r="J1" s="161"/>
      <c r="K1" s="161"/>
      <c r="L1" s="161"/>
      <c r="M1" s="161"/>
      <c r="O1" s="162" t="s">
        <v>1</v>
      </c>
      <c r="P1" s="163"/>
      <c r="Q1" s="163"/>
      <c r="R1" s="163"/>
      <c r="S1" s="163"/>
      <c r="T1" s="163"/>
      <c r="U1" s="163"/>
      <c r="V1" s="163"/>
      <c r="W1" s="163"/>
      <c r="X1" s="164"/>
      <c r="Y1" s="2"/>
      <c r="AA1" s="168" t="s">
        <v>2</v>
      </c>
      <c r="AB1" s="169"/>
      <c r="AC1" s="170"/>
      <c r="AD1" s="170"/>
      <c r="AE1" s="170"/>
      <c r="AF1" s="170"/>
      <c r="AG1" s="170"/>
      <c r="AH1" s="171">
        <v>6.3100000000000003E-2</v>
      </c>
      <c r="AI1" s="171"/>
      <c r="AJ1" s="172"/>
      <c r="AK1" s="172"/>
      <c r="AL1" s="173"/>
    </row>
    <row r="2" spans="1:39" s="3" customFormat="1" ht="10.95" customHeight="1" thickBot="1" x14ac:dyDescent="0.3">
      <c r="A2" s="161" t="s">
        <v>3</v>
      </c>
      <c r="B2" s="174" t="s">
        <v>4</v>
      </c>
      <c r="C2" s="174" t="s">
        <v>5</v>
      </c>
      <c r="D2" s="175" t="s">
        <v>6</v>
      </c>
      <c r="E2" s="175" t="s">
        <v>7</v>
      </c>
      <c r="F2" s="174" t="s">
        <v>8</v>
      </c>
      <c r="G2" s="183" t="s">
        <v>9</v>
      </c>
      <c r="H2" s="174" t="s">
        <v>10</v>
      </c>
      <c r="I2" s="174" t="s">
        <v>11</v>
      </c>
      <c r="J2" s="184" t="s">
        <v>12</v>
      </c>
      <c r="K2" s="174" t="s">
        <v>13</v>
      </c>
      <c r="L2" s="174" t="s">
        <v>14</v>
      </c>
      <c r="M2" s="176" t="s">
        <v>15</v>
      </c>
      <c r="O2" s="165"/>
      <c r="P2" s="166"/>
      <c r="Q2" s="166"/>
      <c r="R2" s="166"/>
      <c r="S2" s="166"/>
      <c r="T2" s="166"/>
      <c r="U2" s="166"/>
      <c r="V2" s="166"/>
      <c r="W2" s="166"/>
      <c r="X2" s="167"/>
      <c r="Y2" s="2"/>
      <c r="AA2" s="177" t="s">
        <v>3</v>
      </c>
      <c r="AB2" s="179" t="s">
        <v>8</v>
      </c>
      <c r="AC2" s="181" t="s">
        <v>16</v>
      </c>
      <c r="AD2" s="181" t="s">
        <v>17</v>
      </c>
      <c r="AE2" s="179" t="s">
        <v>8</v>
      </c>
      <c r="AF2" s="217" t="s">
        <v>18</v>
      </c>
      <c r="AG2" s="219" t="s">
        <v>19</v>
      </c>
      <c r="AH2" s="221" t="s">
        <v>11</v>
      </c>
      <c r="AI2" s="219" t="s">
        <v>20</v>
      </c>
      <c r="AJ2" s="221" t="s">
        <v>13</v>
      </c>
      <c r="AK2" s="186" t="s">
        <v>21</v>
      </c>
      <c r="AL2" s="187" t="s">
        <v>3</v>
      </c>
      <c r="AM2" s="4"/>
    </row>
    <row r="3" spans="1:39" s="3" customFormat="1" ht="10.95" customHeight="1" thickBot="1" x14ac:dyDescent="0.3">
      <c r="A3" s="161"/>
      <c r="B3" s="174"/>
      <c r="C3" s="174"/>
      <c r="D3" s="175"/>
      <c r="E3" s="175"/>
      <c r="F3" s="174"/>
      <c r="G3" s="183"/>
      <c r="H3" s="174"/>
      <c r="I3" s="174"/>
      <c r="J3" s="185"/>
      <c r="K3" s="174"/>
      <c r="L3" s="174"/>
      <c r="M3" s="176"/>
      <c r="O3" s="189" t="s">
        <v>22</v>
      </c>
      <c r="P3" s="190"/>
      <c r="Q3" s="190"/>
      <c r="R3" s="190"/>
      <c r="S3" s="191"/>
      <c r="T3" s="192">
        <f>S5</f>
        <v>0.46867325654479736</v>
      </c>
      <c r="U3" s="193"/>
      <c r="V3" s="193"/>
      <c r="W3" s="194"/>
      <c r="X3" s="201" t="s">
        <v>23</v>
      </c>
      <c r="Y3" s="2"/>
      <c r="AA3" s="178"/>
      <c r="AB3" s="180"/>
      <c r="AC3" s="182"/>
      <c r="AD3" s="182"/>
      <c r="AE3" s="180"/>
      <c r="AF3" s="218"/>
      <c r="AG3" s="220"/>
      <c r="AH3" s="222"/>
      <c r="AI3" s="220"/>
      <c r="AJ3" s="222"/>
      <c r="AK3" s="186"/>
      <c r="AL3" s="188"/>
      <c r="AM3" s="4"/>
    </row>
    <row r="4" spans="1:39" ht="10.95" customHeight="1" x14ac:dyDescent="0.25">
      <c r="A4" s="5">
        <v>1</v>
      </c>
      <c r="B4" s="6" t="s">
        <v>24</v>
      </c>
      <c r="C4" s="7">
        <v>19.2</v>
      </c>
      <c r="D4" s="8">
        <v>1249.9739999999999</v>
      </c>
      <c r="E4" s="8">
        <v>1250.6279999999999</v>
      </c>
      <c r="F4" s="7">
        <v>20.3</v>
      </c>
      <c r="G4" s="9">
        <f>IF(F4&gt;1,F4-C4,"")</f>
        <v>1.1000000000000014</v>
      </c>
      <c r="H4" s="10">
        <f>E4-D4</f>
        <v>0.65399999999999636</v>
      </c>
      <c r="I4" s="11">
        <f>SUM(H4*1.02264)*39.98/3.6</f>
        <v>7.4274684079999576</v>
      </c>
      <c r="J4" s="12">
        <f>I4</f>
        <v>7.4274684079999576</v>
      </c>
      <c r="K4" s="13">
        <f t="shared" ref="K4:K11" si="0">I4*$I$1</f>
        <v>0.46867325654479736</v>
      </c>
      <c r="L4" s="14">
        <f>SUM($K$4:K4)</f>
        <v>0.46867325654479736</v>
      </c>
      <c r="M4" s="15" t="s">
        <v>25</v>
      </c>
      <c r="O4" s="204" t="s">
        <v>26</v>
      </c>
      <c r="P4" s="205"/>
      <c r="Q4" s="16" t="s">
        <v>27</v>
      </c>
      <c r="R4" s="16" t="s">
        <v>28</v>
      </c>
      <c r="S4" s="17" t="s">
        <v>29</v>
      </c>
      <c r="T4" s="195"/>
      <c r="U4" s="196"/>
      <c r="V4" s="196"/>
      <c r="W4" s="197"/>
      <c r="X4" s="202"/>
      <c r="Y4" s="2"/>
      <c r="AA4" s="18">
        <v>1</v>
      </c>
      <c r="AB4" s="19">
        <v>15</v>
      </c>
      <c r="AC4" s="20">
        <v>4953.68</v>
      </c>
      <c r="AD4" s="20">
        <v>4954.05</v>
      </c>
      <c r="AE4" s="19">
        <v>17</v>
      </c>
      <c r="AF4" s="19">
        <f t="shared" ref="AF4:AF9" si="1">AE4-AB4</f>
        <v>2</v>
      </c>
      <c r="AG4" s="12">
        <f t="shared" ref="AG4:AG9" si="2">AD4-AC4</f>
        <v>0.36999999999989086</v>
      </c>
      <c r="AH4" s="21">
        <f t="shared" ref="AH4:AH9" si="3">AG4*32</f>
        <v>11.839999999996508</v>
      </c>
      <c r="AI4" s="12">
        <f>AH4</f>
        <v>11.839999999996508</v>
      </c>
      <c r="AJ4" s="22">
        <f>AH4*$AH$1</f>
        <v>0.74710399999977961</v>
      </c>
      <c r="AK4" s="14">
        <f>SUM($AJ$4:AJ4)</f>
        <v>0.74710399999977961</v>
      </c>
      <c r="AL4" s="23">
        <v>1</v>
      </c>
      <c r="AM4" s="24"/>
    </row>
    <row r="5" spans="1:39" ht="10.95" customHeight="1" thickBot="1" x14ac:dyDescent="0.3">
      <c r="A5" s="5">
        <f>A4+1</f>
        <v>2</v>
      </c>
      <c r="B5" s="25" t="s">
        <v>30</v>
      </c>
      <c r="C5" s="7"/>
      <c r="D5" s="8">
        <v>1250.6489999999999</v>
      </c>
      <c r="E5" s="8">
        <v>1251.671</v>
      </c>
      <c r="F5" s="7"/>
      <c r="G5" s="9" t="str">
        <f t="shared" ref="G5:G11" si="4">IF(F5&gt;1,F5-C5,"")</f>
        <v/>
      </c>
      <c r="H5" s="10">
        <f>IF(E5&gt;0,E5-D5,0)</f>
        <v>1.0220000000001619</v>
      </c>
      <c r="I5" s="11">
        <f t="shared" ref="I5:I11" si="5">SUM(H5*1.02264)*39.98/3.6</f>
        <v>11.606839010668503</v>
      </c>
      <c r="J5" s="12">
        <f>IF(I5&gt;0.1,SUM($I$4:I5)/A5,0)</f>
        <v>9.5171537093342309</v>
      </c>
      <c r="K5" s="13">
        <f t="shared" si="0"/>
        <v>0.73239154157318265</v>
      </c>
      <c r="L5" s="14">
        <f>SUM($K$4:K5)</f>
        <v>1.2010647981179801</v>
      </c>
      <c r="M5" s="15" t="s">
        <v>31</v>
      </c>
      <c r="O5" s="206">
        <v>1</v>
      </c>
      <c r="P5" s="207"/>
      <c r="Q5" s="26">
        <f>H4</f>
        <v>0.65399999999999636</v>
      </c>
      <c r="R5" s="27">
        <f>I4</f>
        <v>7.4274684079999576</v>
      </c>
      <c r="S5" s="28">
        <f>R5*I1</f>
        <v>0.46867325654479736</v>
      </c>
      <c r="T5" s="198"/>
      <c r="U5" s="199"/>
      <c r="V5" s="199"/>
      <c r="W5" s="200"/>
      <c r="X5" s="202"/>
      <c r="Y5" s="2"/>
      <c r="AA5" s="18">
        <v>2</v>
      </c>
      <c r="AB5" s="19">
        <v>17</v>
      </c>
      <c r="AC5" s="20">
        <f>AD4</f>
        <v>4954.05</v>
      </c>
      <c r="AD5" s="20">
        <v>4954.41</v>
      </c>
      <c r="AE5" s="19">
        <v>19</v>
      </c>
      <c r="AF5" s="19">
        <f t="shared" si="1"/>
        <v>2</v>
      </c>
      <c r="AG5" s="12">
        <f t="shared" si="2"/>
        <v>0.35999999999967258</v>
      </c>
      <c r="AH5" s="21">
        <f t="shared" si="3"/>
        <v>11.519999999989523</v>
      </c>
      <c r="AI5" s="12">
        <f>IF(AH5&gt;0.01,SUM($AH$4:AH5)/AA5,0)</f>
        <v>11.679999999993015</v>
      </c>
      <c r="AJ5" s="22">
        <f t="shared" ref="AJ5:AJ9" si="6">AH5*$AH$1</f>
        <v>0.72691199999933886</v>
      </c>
      <c r="AK5" s="14">
        <f>SUM($AJ$4:AJ5)</f>
        <v>1.4740159999991185</v>
      </c>
      <c r="AL5" s="23">
        <v>2</v>
      </c>
      <c r="AM5" s="24"/>
    </row>
    <row r="6" spans="1:39" ht="10.95" customHeight="1" thickBot="1" x14ac:dyDescent="0.3">
      <c r="A6" s="7">
        <f>A5+1</f>
        <v>3</v>
      </c>
      <c r="B6" s="6" t="s">
        <v>24</v>
      </c>
      <c r="C6" s="7"/>
      <c r="D6" s="8">
        <v>1252.723</v>
      </c>
      <c r="E6" s="8">
        <v>1253.421</v>
      </c>
      <c r="F6" s="7"/>
      <c r="G6" s="9" t="str">
        <f t="shared" si="4"/>
        <v/>
      </c>
      <c r="H6" s="10">
        <f t="shared" ref="H6:H11" si="7">IF(E6&gt;0,E6-D6,0)</f>
        <v>0.69800000000009277</v>
      </c>
      <c r="I6" s="11">
        <f t="shared" si="5"/>
        <v>7.9271757626677193</v>
      </c>
      <c r="J6" s="12">
        <f>IF(I6&gt;0.1,SUM($I$4:I6)/A6,0)</f>
        <v>8.9871610604453931</v>
      </c>
      <c r="K6" s="13">
        <f t="shared" si="0"/>
        <v>0.5002047906243331</v>
      </c>
      <c r="L6" s="14">
        <f>SUM($K$4:K6)</f>
        <v>1.701269588742313</v>
      </c>
      <c r="M6" s="7"/>
      <c r="O6" s="208" t="s">
        <v>32</v>
      </c>
      <c r="P6" s="209"/>
      <c r="Q6" s="209"/>
      <c r="R6" s="209"/>
      <c r="S6" s="209"/>
      <c r="T6" s="209"/>
      <c r="U6" s="209"/>
      <c r="V6" s="209"/>
      <c r="W6" s="210"/>
      <c r="X6" s="202"/>
      <c r="Y6" s="2"/>
      <c r="AA6" s="18">
        <v>3</v>
      </c>
      <c r="AB6" s="19">
        <v>19</v>
      </c>
      <c r="AC6" s="20">
        <f>AD5</f>
        <v>4954.41</v>
      </c>
      <c r="AD6" s="20">
        <v>4954.79</v>
      </c>
      <c r="AE6" s="19">
        <v>20</v>
      </c>
      <c r="AF6" s="19">
        <f t="shared" si="1"/>
        <v>1</v>
      </c>
      <c r="AG6" s="12">
        <f t="shared" si="2"/>
        <v>0.38000000000010914</v>
      </c>
      <c r="AH6" s="21">
        <f t="shared" si="3"/>
        <v>12.160000000003492</v>
      </c>
      <c r="AI6" s="12">
        <f>IF(AH6&gt;0.01,SUM($AH$4:AH6)/AA6,0)</f>
        <v>11.839999999996508</v>
      </c>
      <c r="AJ6" s="22">
        <f t="shared" si="6"/>
        <v>0.76729600000022047</v>
      </c>
      <c r="AK6" s="14">
        <f>SUM($AJ$4:AJ6)</f>
        <v>2.2413119999993389</v>
      </c>
      <c r="AL6" s="23">
        <v>3</v>
      </c>
      <c r="AM6" s="24"/>
    </row>
    <row r="7" spans="1:39" ht="10.95" customHeight="1" x14ac:dyDescent="0.25">
      <c r="A7" s="7">
        <f t="shared" ref="A7:A11" si="8">A6+1</f>
        <v>4</v>
      </c>
      <c r="B7" s="6" t="s">
        <v>24</v>
      </c>
      <c r="C7" s="7"/>
      <c r="D7" s="8">
        <v>1253.8030000000001</v>
      </c>
      <c r="E7" s="8">
        <v>1254.4580000000001</v>
      </c>
      <c r="F7" s="7"/>
      <c r="G7" s="9" t="str">
        <f t="shared" si="4"/>
        <v/>
      </c>
      <c r="H7" s="10">
        <f t="shared" si="7"/>
        <v>0.65499999999997272</v>
      </c>
      <c r="I7" s="11">
        <f t="shared" si="5"/>
        <v>7.4388253933330226</v>
      </c>
      <c r="J7" s="12">
        <f>IF(I7&gt;0.1,SUM($I$4:I7)/A7,0)</f>
        <v>8.6000771436673009</v>
      </c>
      <c r="K7" s="13">
        <f t="shared" si="0"/>
        <v>0.46938988231931378</v>
      </c>
      <c r="L7" s="14">
        <f>SUM($K$4:K7)</f>
        <v>2.1706594710616267</v>
      </c>
      <c r="M7" s="7"/>
      <c r="O7" s="211" t="s">
        <v>26</v>
      </c>
      <c r="P7" s="212"/>
      <c r="Q7" s="29">
        <v>1</v>
      </c>
      <c r="R7" s="29">
        <v>2</v>
      </c>
      <c r="S7" s="29">
        <v>3</v>
      </c>
      <c r="T7" s="29">
        <v>4</v>
      </c>
      <c r="U7" s="29">
        <v>5</v>
      </c>
      <c r="V7" s="29">
        <v>6</v>
      </c>
      <c r="W7" s="30">
        <v>7</v>
      </c>
      <c r="X7" s="202"/>
      <c r="Y7" s="2"/>
      <c r="AA7" s="18">
        <v>4</v>
      </c>
      <c r="AB7" s="19">
        <v>20</v>
      </c>
      <c r="AC7" s="20">
        <f>AD6</f>
        <v>4954.79</v>
      </c>
      <c r="AD7" s="20">
        <v>4955.1499999999996</v>
      </c>
      <c r="AE7" s="19">
        <v>22</v>
      </c>
      <c r="AF7" s="19">
        <f t="shared" si="1"/>
        <v>2</v>
      </c>
      <c r="AG7" s="12">
        <f t="shared" si="2"/>
        <v>0.35999999999967258</v>
      </c>
      <c r="AH7" s="21">
        <f t="shared" si="3"/>
        <v>11.519999999989523</v>
      </c>
      <c r="AI7" s="12">
        <f>IF(AH7&gt;0.01,SUM($AH$4:AH7)/AA7,0)</f>
        <v>11.759999999994761</v>
      </c>
      <c r="AJ7" s="22">
        <f t="shared" si="6"/>
        <v>0.72691199999933886</v>
      </c>
      <c r="AK7" s="14">
        <f>SUM($AJ$4:AJ7)</f>
        <v>2.9682239999986777</v>
      </c>
      <c r="AL7" s="23">
        <v>4</v>
      </c>
      <c r="AM7" s="24"/>
    </row>
    <row r="8" spans="1:39" ht="10.95" customHeight="1" x14ac:dyDescent="0.25">
      <c r="A8" s="7">
        <f t="shared" si="8"/>
        <v>5</v>
      </c>
      <c r="B8" s="31"/>
      <c r="C8" s="7"/>
      <c r="D8" s="8"/>
      <c r="E8" s="8"/>
      <c r="F8" s="7"/>
      <c r="G8" s="9" t="str">
        <f t="shared" si="4"/>
        <v/>
      </c>
      <c r="H8" s="32">
        <f t="shared" si="7"/>
        <v>0</v>
      </c>
      <c r="I8" s="20">
        <f t="shared" si="5"/>
        <v>0</v>
      </c>
      <c r="J8" s="12">
        <f>IF(I8&gt;0.1,SUM($I$4:I8)/A8,0)</f>
        <v>0</v>
      </c>
      <c r="K8" s="33">
        <f t="shared" si="0"/>
        <v>0</v>
      </c>
      <c r="L8" s="14">
        <f>SUM($K$4:K8)</f>
        <v>2.1706594710616267</v>
      </c>
      <c r="M8" s="7"/>
      <c r="O8" s="213" t="s">
        <v>33</v>
      </c>
      <c r="P8" s="214"/>
      <c r="Q8" s="236">
        <f>S5</f>
        <v>0.46867325654479736</v>
      </c>
      <c r="R8" s="238">
        <f t="shared" ref="R8:W8" si="9">$Q$8*R7</f>
        <v>0.93734651308959471</v>
      </c>
      <c r="S8" s="238">
        <f t="shared" si="9"/>
        <v>1.4060197696343921</v>
      </c>
      <c r="T8" s="238">
        <f t="shared" si="9"/>
        <v>1.8746930261791894</v>
      </c>
      <c r="U8" s="238">
        <f t="shared" si="9"/>
        <v>2.3433662827239869</v>
      </c>
      <c r="V8" s="238">
        <f t="shared" si="9"/>
        <v>2.8120395392687842</v>
      </c>
      <c r="W8" s="223">
        <f t="shared" si="9"/>
        <v>3.2807127958135816</v>
      </c>
      <c r="X8" s="202"/>
      <c r="Y8" s="2"/>
      <c r="AA8" s="18">
        <v>5</v>
      </c>
      <c r="AB8" s="19">
        <v>22</v>
      </c>
      <c r="AC8" s="20">
        <f>AD7</f>
        <v>4955.1499999999996</v>
      </c>
      <c r="AD8" s="20">
        <v>4955.5200000000004</v>
      </c>
      <c r="AE8" s="19">
        <v>23</v>
      </c>
      <c r="AF8" s="19">
        <f t="shared" si="1"/>
        <v>1</v>
      </c>
      <c r="AG8" s="12">
        <f t="shared" si="2"/>
        <v>0.37000000000080036</v>
      </c>
      <c r="AH8" s="21">
        <f t="shared" si="3"/>
        <v>11.840000000025611</v>
      </c>
      <c r="AI8" s="12">
        <f>IF(AH8&gt;0.01,SUM($AH$4:AH8)/AA8,0)</f>
        <v>11.776000000000931</v>
      </c>
      <c r="AJ8" s="22">
        <f t="shared" si="6"/>
        <v>0.74710400000161614</v>
      </c>
      <c r="AK8" s="14">
        <f>SUM($AJ$4:AJ8)</f>
        <v>3.715328000000294</v>
      </c>
      <c r="AL8" s="23">
        <v>5</v>
      </c>
      <c r="AM8" s="24"/>
    </row>
    <row r="9" spans="1:39" ht="10.95" customHeight="1" thickBot="1" x14ac:dyDescent="0.3">
      <c r="A9" s="7">
        <f t="shared" si="8"/>
        <v>6</v>
      </c>
      <c r="B9" s="31"/>
      <c r="C9" s="7"/>
      <c r="D9" s="8"/>
      <c r="E9" s="8"/>
      <c r="F9" s="7"/>
      <c r="G9" s="9" t="str">
        <f t="shared" si="4"/>
        <v/>
      </c>
      <c r="H9" s="32">
        <f t="shared" si="7"/>
        <v>0</v>
      </c>
      <c r="I9" s="20">
        <f t="shared" si="5"/>
        <v>0</v>
      </c>
      <c r="J9" s="12">
        <f>IF(I9&gt;0.1,SUM($I$4:I9)/A9,0)</f>
        <v>0</v>
      </c>
      <c r="K9" s="33">
        <f t="shared" si="0"/>
        <v>0</v>
      </c>
      <c r="L9" s="14">
        <f>SUM($K$4:K9)</f>
        <v>2.1706594710616267</v>
      </c>
      <c r="M9" s="7"/>
      <c r="O9" s="215"/>
      <c r="P9" s="216"/>
      <c r="Q9" s="237"/>
      <c r="R9" s="239"/>
      <c r="S9" s="239"/>
      <c r="T9" s="239"/>
      <c r="U9" s="239"/>
      <c r="V9" s="239"/>
      <c r="W9" s="224"/>
      <c r="X9" s="202"/>
      <c r="Y9" s="34"/>
      <c r="AA9" s="35">
        <v>6</v>
      </c>
      <c r="AB9" s="36">
        <v>23</v>
      </c>
      <c r="AC9" s="37">
        <f>AD8</f>
        <v>4955.5200000000004</v>
      </c>
      <c r="AD9" s="37">
        <v>4955.83</v>
      </c>
      <c r="AE9" s="36">
        <v>23</v>
      </c>
      <c r="AF9" s="36">
        <f t="shared" si="1"/>
        <v>0</v>
      </c>
      <c r="AG9" s="38">
        <f t="shared" si="2"/>
        <v>0.30999999999949068</v>
      </c>
      <c r="AH9" s="39">
        <f t="shared" si="3"/>
        <v>9.9199999999837019</v>
      </c>
      <c r="AI9" s="38">
        <f>IF(AH9&gt;0.01,SUM($AH$4:AH9)/AA9,0)</f>
        <v>11.466666666664727</v>
      </c>
      <c r="AJ9" s="40">
        <f t="shared" si="6"/>
        <v>0.62595199999897166</v>
      </c>
      <c r="AK9" s="41">
        <f>SUM($AJ$4:AJ9)</f>
        <v>4.3412799999992657</v>
      </c>
      <c r="AL9" s="42">
        <v>6</v>
      </c>
      <c r="AM9" s="24"/>
    </row>
    <row r="10" spans="1:39" ht="10.95" customHeight="1" thickBot="1" x14ac:dyDescent="0.3">
      <c r="A10" s="7">
        <f t="shared" si="8"/>
        <v>7</v>
      </c>
      <c r="B10" s="31"/>
      <c r="C10" s="7"/>
      <c r="D10" s="8"/>
      <c r="E10" s="8"/>
      <c r="F10" s="7"/>
      <c r="G10" s="9" t="str">
        <f t="shared" si="4"/>
        <v/>
      </c>
      <c r="H10" s="32">
        <f t="shared" si="7"/>
        <v>0</v>
      </c>
      <c r="I10" s="20">
        <f t="shared" si="5"/>
        <v>0</v>
      </c>
      <c r="J10" s="12">
        <f>IF(I10&gt;0.1,SUM($I$4:I10)/A10,0)</f>
        <v>0</v>
      </c>
      <c r="K10" s="33">
        <f t="shared" si="0"/>
        <v>0</v>
      </c>
      <c r="L10" s="14">
        <f>SUM($K$4:K10)</f>
        <v>2.1706594710616267</v>
      </c>
      <c r="M10" s="7"/>
      <c r="O10" s="225" t="s">
        <v>34</v>
      </c>
      <c r="P10" s="226"/>
      <c r="Q10" s="43">
        <f>Q5</f>
        <v>0.65399999999999636</v>
      </c>
      <c r="R10" s="44">
        <f>Q10*2</f>
        <v>1.3079999999999927</v>
      </c>
      <c r="S10" s="44">
        <f>Q10*3</f>
        <v>1.9619999999999891</v>
      </c>
      <c r="T10" s="44">
        <f>Q10*4</f>
        <v>2.6159999999999854</v>
      </c>
      <c r="U10" s="44">
        <f>Q10*5</f>
        <v>3.2699999999999818</v>
      </c>
      <c r="V10" s="44">
        <f>Q10*6</f>
        <v>3.9239999999999782</v>
      </c>
      <c r="W10" s="45">
        <f>Q10*7</f>
        <v>4.5779999999999745</v>
      </c>
      <c r="X10" s="202"/>
      <c r="Y10" s="46"/>
      <c r="AM10" s="24"/>
    </row>
    <row r="11" spans="1:39" ht="10.95" customHeight="1" thickBot="1" x14ac:dyDescent="0.3">
      <c r="A11" s="7">
        <f t="shared" si="8"/>
        <v>8</v>
      </c>
      <c r="B11" s="31"/>
      <c r="C11" s="7"/>
      <c r="D11" s="8"/>
      <c r="E11" s="8"/>
      <c r="F11" s="7"/>
      <c r="G11" s="9" t="str">
        <f t="shared" si="4"/>
        <v/>
      </c>
      <c r="H11" s="32">
        <f t="shared" si="7"/>
        <v>0</v>
      </c>
      <c r="I11" s="20">
        <f t="shared" si="5"/>
        <v>0</v>
      </c>
      <c r="J11" s="12">
        <f>IF(I11&gt;0.1,SUM($I$4:I11)/A11,0)</f>
        <v>0</v>
      </c>
      <c r="K11" s="33">
        <f t="shared" si="0"/>
        <v>0</v>
      </c>
      <c r="L11" s="14">
        <f>SUM($K$4:K11)</f>
        <v>2.1706594710616267</v>
      </c>
      <c r="M11" s="7"/>
      <c r="O11" s="227" t="s">
        <v>28</v>
      </c>
      <c r="P11" s="228"/>
      <c r="Q11" s="48">
        <f>R5</f>
        <v>7.4274684079999576</v>
      </c>
      <c r="R11" s="49">
        <f>Q11*2</f>
        <v>14.854936815999915</v>
      </c>
      <c r="S11" s="49">
        <f>Q11*3</f>
        <v>22.282405223999874</v>
      </c>
      <c r="T11" s="49">
        <f>Q11*4</f>
        <v>29.70987363199983</v>
      </c>
      <c r="U11" s="49">
        <f>Q11*5</f>
        <v>37.137342039999787</v>
      </c>
      <c r="V11" s="49">
        <f>Q11*6</f>
        <v>44.564810447999747</v>
      </c>
      <c r="W11" s="50">
        <f>Q11*7</f>
        <v>51.9922788559997</v>
      </c>
      <c r="X11" s="203"/>
      <c r="Y11" s="46"/>
      <c r="AA11" s="229" t="s">
        <v>35</v>
      </c>
      <c r="AB11" s="230"/>
      <c r="AC11" s="230"/>
      <c r="AD11" s="230"/>
      <c r="AE11" s="230"/>
      <c r="AF11" s="230"/>
      <c r="AG11" s="230"/>
      <c r="AH11" s="230"/>
      <c r="AI11" s="230"/>
      <c r="AJ11" s="231"/>
      <c r="AM11" s="24"/>
    </row>
    <row r="12" spans="1:39" ht="10.95" customHeight="1" thickBot="1" x14ac:dyDescent="0.3">
      <c r="D12" s="51"/>
      <c r="E12" s="51"/>
      <c r="U12" s="1"/>
      <c r="V12" s="1"/>
      <c r="W12" s="1"/>
      <c r="X12" s="34"/>
      <c r="Y12" s="46"/>
      <c r="AA12" s="232" t="s">
        <v>26</v>
      </c>
      <c r="AB12" s="233"/>
      <c r="AC12" s="52">
        <v>1</v>
      </c>
      <c r="AD12" s="52">
        <v>2</v>
      </c>
      <c r="AE12" s="234">
        <v>3</v>
      </c>
      <c r="AF12" s="235"/>
      <c r="AG12" s="52">
        <v>4</v>
      </c>
      <c r="AH12" s="52">
        <v>5</v>
      </c>
      <c r="AI12" s="52">
        <v>6</v>
      </c>
      <c r="AJ12" s="53">
        <v>7</v>
      </c>
      <c r="AM12" s="24"/>
    </row>
    <row r="13" spans="1:39" ht="10.95" customHeight="1" thickBot="1" x14ac:dyDescent="0.3">
      <c r="A13" s="159" t="s">
        <v>36</v>
      </c>
      <c r="B13" s="159"/>
      <c r="C13" s="159"/>
      <c r="D13" s="160"/>
      <c r="E13" s="160"/>
      <c r="F13" s="160"/>
      <c r="G13" s="160"/>
      <c r="H13" s="160"/>
      <c r="I13" s="161">
        <v>6.3100000000000003E-2</v>
      </c>
      <c r="J13" s="161"/>
      <c r="K13" s="161"/>
      <c r="L13" s="161"/>
      <c r="M13" s="161"/>
      <c r="O13" s="189" t="s">
        <v>37</v>
      </c>
      <c r="P13" s="190"/>
      <c r="Q13" s="190"/>
      <c r="R13" s="190"/>
      <c r="S13" s="191"/>
      <c r="T13" s="192">
        <f>S15</f>
        <v>0.73239154157318265</v>
      </c>
      <c r="U13" s="193"/>
      <c r="V13" s="193"/>
      <c r="W13" s="194"/>
      <c r="X13" s="240" t="s">
        <v>38</v>
      </c>
      <c r="Y13" s="46"/>
      <c r="AA13" s="213" t="s">
        <v>33</v>
      </c>
      <c r="AB13" s="214"/>
      <c r="AC13" s="270">
        <f>$AG$21*AC12</f>
        <v>0.74710399999977961</v>
      </c>
      <c r="AD13" s="270">
        <f>$AG$21*AD12</f>
        <v>1.4942079999995592</v>
      </c>
      <c r="AE13" s="272">
        <f>$AG$21*AE12</f>
        <v>2.2413119999993389</v>
      </c>
      <c r="AF13" s="273"/>
      <c r="AG13" s="270">
        <f>$AG$21*AG12</f>
        <v>2.9884159999991184</v>
      </c>
      <c r="AH13" s="270">
        <f>$AG$21*AH12</f>
        <v>3.7355199999988979</v>
      </c>
      <c r="AI13" s="270">
        <f>$AG$21*AI12</f>
        <v>4.4826239999986779</v>
      </c>
      <c r="AJ13" s="267">
        <f>$AG$21*AJ12</f>
        <v>5.2297279999984569</v>
      </c>
    </row>
    <row r="14" spans="1:39" ht="10.95" customHeight="1" thickBot="1" x14ac:dyDescent="0.3">
      <c r="A14" s="174" t="s">
        <v>3</v>
      </c>
      <c r="B14" s="174" t="s">
        <v>4</v>
      </c>
      <c r="C14" s="269" t="s">
        <v>39</v>
      </c>
      <c r="D14" s="175" t="s">
        <v>6</v>
      </c>
      <c r="E14" s="175" t="s">
        <v>7</v>
      </c>
      <c r="F14" s="269" t="s">
        <v>40</v>
      </c>
      <c r="G14" s="174" t="s">
        <v>41</v>
      </c>
      <c r="H14" s="174" t="s">
        <v>10</v>
      </c>
      <c r="I14" s="174" t="s">
        <v>11</v>
      </c>
      <c r="J14" s="245" t="s">
        <v>12</v>
      </c>
      <c r="K14" s="174" t="s">
        <v>13</v>
      </c>
      <c r="L14" s="174" t="s">
        <v>14</v>
      </c>
      <c r="M14" s="176" t="s">
        <v>15</v>
      </c>
      <c r="O14" s="277" t="s">
        <v>26</v>
      </c>
      <c r="P14" s="278"/>
      <c r="Q14" s="16" t="s">
        <v>27</v>
      </c>
      <c r="R14" s="16" t="s">
        <v>28</v>
      </c>
      <c r="S14" s="17" t="s">
        <v>29</v>
      </c>
      <c r="T14" s="195"/>
      <c r="U14" s="196"/>
      <c r="V14" s="196"/>
      <c r="W14" s="197"/>
      <c r="X14" s="241"/>
      <c r="Y14" s="46"/>
      <c r="AA14" s="243"/>
      <c r="AB14" s="244"/>
      <c r="AC14" s="271"/>
      <c r="AD14" s="271"/>
      <c r="AE14" s="274"/>
      <c r="AF14" s="275"/>
      <c r="AG14" s="271"/>
      <c r="AH14" s="271"/>
      <c r="AI14" s="271"/>
      <c r="AJ14" s="268"/>
    </row>
    <row r="15" spans="1:39" ht="10.95" customHeight="1" thickBot="1" x14ac:dyDescent="0.3">
      <c r="A15" s="174"/>
      <c r="B15" s="174"/>
      <c r="C15" s="269"/>
      <c r="D15" s="175"/>
      <c r="E15" s="175"/>
      <c r="F15" s="269"/>
      <c r="G15" s="174"/>
      <c r="H15" s="174"/>
      <c r="I15" s="174"/>
      <c r="J15" s="246"/>
      <c r="K15" s="174"/>
      <c r="L15" s="174"/>
      <c r="M15" s="176"/>
      <c r="O15" s="206">
        <v>1</v>
      </c>
      <c r="P15" s="207"/>
      <c r="Q15" s="26">
        <f>H5</f>
        <v>1.0220000000001619</v>
      </c>
      <c r="R15" s="27">
        <f>I5</f>
        <v>11.606839010668503</v>
      </c>
      <c r="S15" s="28">
        <f>R15*I1</f>
        <v>0.73239154157318265</v>
      </c>
      <c r="T15" s="198"/>
      <c r="U15" s="199"/>
      <c r="V15" s="199"/>
      <c r="W15" s="200"/>
      <c r="X15" s="241"/>
      <c r="Y15" s="46"/>
      <c r="AC15" s="1"/>
      <c r="AD15" s="1"/>
    </row>
    <row r="16" spans="1:39" ht="10.95" customHeight="1" thickBot="1" x14ac:dyDescent="0.3">
      <c r="A16" s="5">
        <v>1</v>
      </c>
      <c r="B16" s="6" t="s">
        <v>24</v>
      </c>
      <c r="C16" s="55"/>
      <c r="D16" s="8">
        <v>1250.6279999999999</v>
      </c>
      <c r="E16" s="8">
        <v>1250.6489999999999</v>
      </c>
      <c r="F16" s="55"/>
      <c r="G16" s="7">
        <v>1</v>
      </c>
      <c r="H16" s="10">
        <f>IF(E16&gt;0,E16-D16,0)</f>
        <v>2.0999999999958163E-2</v>
      </c>
      <c r="I16" s="11">
        <f>SUM(H16*1.02264)*39.98/3.6</f>
        <v>0.23849669199952486</v>
      </c>
      <c r="J16" s="12">
        <f>I16</f>
        <v>0.23849669199952486</v>
      </c>
      <c r="K16" s="56">
        <f t="shared" ref="K16:K20" si="10">I16*$I$13</f>
        <v>1.504914126517002E-2</v>
      </c>
      <c r="L16" s="14">
        <f>SUM($K$16:K16)</f>
        <v>1.504914126517002E-2</v>
      </c>
      <c r="M16" s="15" t="s">
        <v>42</v>
      </c>
      <c r="O16" s="208" t="s">
        <v>43</v>
      </c>
      <c r="P16" s="209"/>
      <c r="Q16" s="209"/>
      <c r="R16" s="209"/>
      <c r="S16" s="209"/>
      <c r="T16" s="209"/>
      <c r="U16" s="209"/>
      <c r="V16" s="209"/>
      <c r="W16" s="210"/>
      <c r="X16" s="241"/>
      <c r="Y16" s="46"/>
      <c r="AA16" s="247" t="s">
        <v>44</v>
      </c>
      <c r="AB16" s="248"/>
      <c r="AC16" s="248"/>
      <c r="AD16" s="248"/>
      <c r="AE16" s="248"/>
      <c r="AF16" s="249"/>
      <c r="AG16" s="256" t="s">
        <v>45</v>
      </c>
      <c r="AH16" s="257"/>
      <c r="AI16" s="257"/>
      <c r="AJ16" s="258"/>
    </row>
    <row r="17" spans="1:36" ht="10.95" customHeight="1" x14ac:dyDescent="0.25">
      <c r="A17" s="57">
        <f>A16+1</f>
        <v>2</v>
      </c>
      <c r="B17" s="6" t="s">
        <v>24</v>
      </c>
      <c r="C17" s="58"/>
      <c r="D17" s="8">
        <v>1251.7139999999999</v>
      </c>
      <c r="E17" s="8">
        <v>1251.741</v>
      </c>
      <c r="F17" s="58"/>
      <c r="G17" s="7">
        <v>1</v>
      </c>
      <c r="H17" s="10">
        <f t="shared" ref="H17:H20" si="11">IF(E17&gt;0,E17-D17,0)</f>
        <v>2.7000000000043656E-2</v>
      </c>
      <c r="I17" s="11">
        <f t="shared" ref="I17:I20" si="12">SUM(H17*1.02264)*39.98/3.6</f>
        <v>0.30663860400049581</v>
      </c>
      <c r="J17" s="12">
        <f>IF(I17&gt;0.01,SUM($I$16:I17)/A17,0)</f>
        <v>0.27256764800001032</v>
      </c>
      <c r="K17" s="56">
        <f t="shared" si="10"/>
        <v>1.9348895912431288E-2</v>
      </c>
      <c r="L17" s="14">
        <f>SUM($K$16:K17)</f>
        <v>3.4398037177601308E-2</v>
      </c>
      <c r="M17" s="7"/>
      <c r="O17" s="211" t="s">
        <v>26</v>
      </c>
      <c r="P17" s="212"/>
      <c r="Q17" s="29">
        <v>1</v>
      </c>
      <c r="R17" s="29">
        <v>2</v>
      </c>
      <c r="S17" s="29">
        <v>3</v>
      </c>
      <c r="T17" s="29">
        <v>4</v>
      </c>
      <c r="U17" s="29">
        <v>5</v>
      </c>
      <c r="V17" s="29">
        <v>6</v>
      </c>
      <c r="W17" s="30">
        <v>7</v>
      </c>
      <c r="X17" s="241"/>
      <c r="Y17" s="46"/>
      <c r="AA17" s="250"/>
      <c r="AB17" s="251"/>
      <c r="AC17" s="251"/>
      <c r="AD17" s="251"/>
      <c r="AE17" s="251"/>
      <c r="AF17" s="252"/>
      <c r="AG17" s="259"/>
      <c r="AH17" s="260"/>
      <c r="AI17" s="260"/>
      <c r="AJ17" s="261"/>
    </row>
    <row r="18" spans="1:36" ht="10.95" customHeight="1" x14ac:dyDescent="0.25">
      <c r="A18" s="57">
        <f>A17+1</f>
        <v>3</v>
      </c>
      <c r="B18" s="6" t="s">
        <v>24</v>
      </c>
      <c r="C18" s="59"/>
      <c r="D18" s="8">
        <f>E17</f>
        <v>1251.741</v>
      </c>
      <c r="E18" s="8">
        <v>1251.758</v>
      </c>
      <c r="F18" s="59"/>
      <c r="G18" s="7">
        <v>1</v>
      </c>
      <c r="H18" s="10">
        <f t="shared" si="11"/>
        <v>1.7000000000052751E-2</v>
      </c>
      <c r="I18" s="11">
        <f t="shared" si="12"/>
        <v>0.19306875066726573</v>
      </c>
      <c r="J18" s="12">
        <f>IF(I18&gt;0.01,SUM($I$16:I18)/A18,0)</f>
        <v>0.2460680155557621</v>
      </c>
      <c r="K18" s="56">
        <f t="shared" si="10"/>
        <v>1.2182638167104468E-2</v>
      </c>
      <c r="L18" s="14">
        <f>SUM($K$16:K18)</f>
        <v>4.658067534470578E-2</v>
      </c>
      <c r="M18" s="7"/>
      <c r="O18" s="213" t="s">
        <v>33</v>
      </c>
      <c r="P18" s="214"/>
      <c r="Q18" s="236">
        <f>S15</f>
        <v>0.73239154157318265</v>
      </c>
      <c r="R18" s="238">
        <f t="shared" ref="R18:W18" si="13">$Q$18*R17</f>
        <v>1.4647830831463653</v>
      </c>
      <c r="S18" s="238">
        <f t="shared" si="13"/>
        <v>2.1971746247195481</v>
      </c>
      <c r="T18" s="238">
        <f t="shared" si="13"/>
        <v>2.9295661662927306</v>
      </c>
      <c r="U18" s="238">
        <f t="shared" si="13"/>
        <v>3.6619577078659131</v>
      </c>
      <c r="V18" s="238">
        <f t="shared" si="13"/>
        <v>4.3943492494390961</v>
      </c>
      <c r="W18" s="223">
        <f t="shared" si="13"/>
        <v>5.1267407910122786</v>
      </c>
      <c r="X18" s="241"/>
      <c r="Y18" s="1"/>
      <c r="AA18" s="250"/>
      <c r="AB18" s="251"/>
      <c r="AC18" s="251"/>
      <c r="AD18" s="251"/>
      <c r="AE18" s="251"/>
      <c r="AF18" s="252"/>
      <c r="AG18" s="259"/>
      <c r="AH18" s="260"/>
      <c r="AI18" s="260"/>
      <c r="AJ18" s="261"/>
    </row>
    <row r="19" spans="1:36" ht="10.95" customHeight="1" thickBot="1" x14ac:dyDescent="0.3">
      <c r="A19" s="7">
        <f t="shared" ref="A19:A20" si="14">A18+1</f>
        <v>4</v>
      </c>
      <c r="B19" s="31"/>
      <c r="C19" s="59"/>
      <c r="D19" s="8"/>
      <c r="E19" s="8"/>
      <c r="F19" s="59"/>
      <c r="G19" s="7"/>
      <c r="H19" s="32">
        <f t="shared" si="11"/>
        <v>0</v>
      </c>
      <c r="I19" s="60">
        <f t="shared" si="12"/>
        <v>0</v>
      </c>
      <c r="J19" s="12">
        <f>IF(I19&gt;0.01,SUM($I$16:I19)/A19,0)</f>
        <v>0</v>
      </c>
      <c r="K19" s="61">
        <f t="shared" si="10"/>
        <v>0</v>
      </c>
      <c r="L19" s="14">
        <f>SUM($K$16:K19)</f>
        <v>4.658067534470578E-2</v>
      </c>
      <c r="M19" s="7"/>
      <c r="O19" s="243"/>
      <c r="P19" s="244"/>
      <c r="Q19" s="265"/>
      <c r="R19" s="266"/>
      <c r="S19" s="266"/>
      <c r="T19" s="266"/>
      <c r="U19" s="266"/>
      <c r="V19" s="266"/>
      <c r="W19" s="276"/>
      <c r="X19" s="241"/>
      <c r="Y19" s="1"/>
      <c r="AA19" s="253"/>
      <c r="AB19" s="254"/>
      <c r="AC19" s="254"/>
      <c r="AD19" s="254"/>
      <c r="AE19" s="254"/>
      <c r="AF19" s="255"/>
      <c r="AG19" s="262"/>
      <c r="AH19" s="263"/>
      <c r="AI19" s="263"/>
      <c r="AJ19" s="264"/>
    </row>
    <row r="20" spans="1:36" ht="10.95" customHeight="1" thickBot="1" x14ac:dyDescent="0.3">
      <c r="A20" s="7">
        <f t="shared" si="14"/>
        <v>5</v>
      </c>
      <c r="B20" s="31"/>
      <c r="C20" s="59"/>
      <c r="D20" s="8"/>
      <c r="E20" s="8"/>
      <c r="F20" s="59"/>
      <c r="G20" s="7"/>
      <c r="H20" s="32">
        <f t="shared" si="11"/>
        <v>0</v>
      </c>
      <c r="I20" s="20">
        <f t="shared" si="12"/>
        <v>0</v>
      </c>
      <c r="J20" s="12">
        <f>IF(I20&gt;0.01,SUM($I$16:I20)/A20,0)</f>
        <v>0</v>
      </c>
      <c r="K20" s="62">
        <f t="shared" si="10"/>
        <v>0</v>
      </c>
      <c r="L20" s="14">
        <f>SUM($K$16:K20)</f>
        <v>4.658067534470578E-2</v>
      </c>
      <c r="M20" s="7"/>
      <c r="O20" s="225" t="s">
        <v>34</v>
      </c>
      <c r="P20" s="226"/>
      <c r="Q20" s="43">
        <f>Q15</f>
        <v>1.0220000000001619</v>
      </c>
      <c r="R20" s="44">
        <f>Q20*2</f>
        <v>2.0440000000003238</v>
      </c>
      <c r="S20" s="44">
        <f>Q20*3</f>
        <v>3.0660000000004857</v>
      </c>
      <c r="T20" s="44">
        <f>Q20*4</f>
        <v>4.0880000000006476</v>
      </c>
      <c r="U20" s="44">
        <f>Q20*5</f>
        <v>5.1100000000008095</v>
      </c>
      <c r="V20" s="44">
        <f>Q20*6</f>
        <v>6.1320000000009713</v>
      </c>
      <c r="W20" s="45">
        <f>Q20*7</f>
        <v>7.1540000000011332</v>
      </c>
      <c r="X20" s="241"/>
      <c r="Y20" s="1"/>
      <c r="AA20" s="63"/>
      <c r="AB20" s="63"/>
      <c r="AC20" s="63"/>
      <c r="AD20" s="63"/>
      <c r="AE20" s="63"/>
      <c r="AF20" s="63"/>
      <c r="AG20" s="64"/>
      <c r="AH20" s="65"/>
      <c r="AI20" s="65"/>
      <c r="AJ20" s="65"/>
    </row>
    <row r="21" spans="1:36" ht="10.95" customHeight="1" thickBot="1" x14ac:dyDescent="0.3">
      <c r="A21" s="438"/>
      <c r="B21" s="439"/>
      <c r="C21" s="440"/>
      <c r="D21" s="441"/>
      <c r="E21" s="441"/>
      <c r="F21" s="440"/>
      <c r="G21" s="442"/>
      <c r="H21" s="443"/>
      <c r="I21" s="104"/>
      <c r="J21" s="105"/>
      <c r="K21" s="106"/>
      <c r="L21" s="107"/>
      <c r="M21" s="66"/>
      <c r="O21" s="227" t="s">
        <v>28</v>
      </c>
      <c r="P21" s="228"/>
      <c r="Q21" s="48">
        <f>R15</f>
        <v>11.606839010668503</v>
      </c>
      <c r="R21" s="49">
        <f>Q21*2</f>
        <v>23.213678021337007</v>
      </c>
      <c r="S21" s="49">
        <f>Q21*3</f>
        <v>34.820517032005512</v>
      </c>
      <c r="T21" s="49">
        <f>Q21*4</f>
        <v>46.427356042674013</v>
      </c>
      <c r="U21" s="49">
        <f>Q21*5</f>
        <v>58.034195053342515</v>
      </c>
      <c r="V21" s="49">
        <f>Q21*6</f>
        <v>69.641034064011023</v>
      </c>
      <c r="W21" s="50">
        <f>Q21*7</f>
        <v>81.247873074679518</v>
      </c>
      <c r="X21" s="242"/>
      <c r="Y21" s="1"/>
      <c r="Z21" s="279" t="s">
        <v>46</v>
      </c>
      <c r="AA21" s="282" t="s">
        <v>47</v>
      </c>
      <c r="AB21" s="283"/>
      <c r="AC21" s="283"/>
      <c r="AD21" s="283"/>
      <c r="AE21" s="283"/>
      <c r="AF21" s="283"/>
      <c r="AG21" s="284">
        <f>AE23</f>
        <v>0.74710399999977961</v>
      </c>
      <c r="AH21" s="285"/>
      <c r="AI21" s="285"/>
      <c r="AJ21" s="286"/>
    </row>
    <row r="22" spans="1:36" ht="10.95" customHeight="1" x14ac:dyDescent="0.25">
      <c r="A22" s="444" t="s">
        <v>48</v>
      </c>
      <c r="B22" s="445"/>
      <c r="C22" s="445"/>
      <c r="D22" s="446"/>
      <c r="E22" s="446"/>
      <c r="F22" s="446"/>
      <c r="G22" s="446"/>
      <c r="H22" s="446"/>
      <c r="I22" s="447">
        <v>6.3100000000000003E-2</v>
      </c>
      <c r="J22" s="448"/>
      <c r="K22" s="448"/>
      <c r="L22" s="448"/>
      <c r="M22" s="449"/>
      <c r="O22" s="66"/>
      <c r="P22" s="66"/>
      <c r="Q22" s="67"/>
      <c r="R22" s="67"/>
      <c r="S22" s="67"/>
      <c r="T22" s="67"/>
      <c r="U22" s="67"/>
      <c r="V22" s="67"/>
      <c r="W22" s="67"/>
      <c r="X22" s="1"/>
      <c r="Z22" s="280"/>
      <c r="AA22" s="293" t="s">
        <v>26</v>
      </c>
      <c r="AB22" s="294"/>
      <c r="AC22" s="69" t="s">
        <v>49</v>
      </c>
      <c r="AD22" s="70" t="s">
        <v>50</v>
      </c>
      <c r="AE22" s="295" t="s">
        <v>29</v>
      </c>
      <c r="AF22" s="296"/>
      <c r="AG22" s="287"/>
      <c r="AH22" s="288"/>
      <c r="AI22" s="288"/>
      <c r="AJ22" s="289"/>
    </row>
    <row r="23" spans="1:36" ht="10.95" customHeight="1" thickBot="1" x14ac:dyDescent="0.3">
      <c r="A23" s="450" t="s">
        <v>3</v>
      </c>
      <c r="B23" s="174" t="s">
        <v>4</v>
      </c>
      <c r="C23" s="269" t="s">
        <v>39</v>
      </c>
      <c r="D23" s="175" t="s">
        <v>6</v>
      </c>
      <c r="E23" s="175" t="s">
        <v>7</v>
      </c>
      <c r="F23" s="269" t="s">
        <v>40</v>
      </c>
      <c r="G23" s="174" t="s">
        <v>41</v>
      </c>
      <c r="H23" s="174" t="s">
        <v>10</v>
      </c>
      <c r="I23" s="174" t="s">
        <v>11</v>
      </c>
      <c r="J23" s="245" t="s">
        <v>12</v>
      </c>
      <c r="K23" s="174" t="s">
        <v>13</v>
      </c>
      <c r="L23" s="308" t="s">
        <v>51</v>
      </c>
      <c r="M23" s="451" t="s">
        <v>52</v>
      </c>
      <c r="O23" s="297" t="s">
        <v>53</v>
      </c>
      <c r="P23" s="297"/>
      <c r="Q23" s="297"/>
      <c r="R23" s="297" t="s">
        <v>54</v>
      </c>
      <c r="S23" s="297"/>
      <c r="T23" s="297" t="s">
        <v>55</v>
      </c>
      <c r="U23" s="297"/>
      <c r="V23" s="298" t="s">
        <v>56</v>
      </c>
      <c r="W23" s="298"/>
      <c r="X23" s="1"/>
      <c r="Z23" s="280"/>
      <c r="AA23" s="299">
        <v>1</v>
      </c>
      <c r="AB23" s="273"/>
      <c r="AC23" s="71">
        <f>AG4</f>
        <v>0.36999999999989086</v>
      </c>
      <c r="AD23" s="72">
        <f>AC23*32</f>
        <v>11.839999999996508</v>
      </c>
      <c r="AE23" s="300">
        <v>0.74710399999977961</v>
      </c>
      <c r="AF23" s="301"/>
      <c r="AG23" s="290"/>
      <c r="AH23" s="291"/>
      <c r="AI23" s="291"/>
      <c r="AJ23" s="292"/>
    </row>
    <row r="24" spans="1:36" ht="10.95" customHeight="1" x14ac:dyDescent="0.25">
      <c r="A24" s="450"/>
      <c r="B24" s="174"/>
      <c r="C24" s="269"/>
      <c r="D24" s="175"/>
      <c r="E24" s="175"/>
      <c r="F24" s="269"/>
      <c r="G24" s="174"/>
      <c r="H24" s="174"/>
      <c r="I24" s="174"/>
      <c r="J24" s="246"/>
      <c r="K24" s="174"/>
      <c r="L24" s="308"/>
      <c r="M24" s="451"/>
      <c r="O24" s="302">
        <v>11</v>
      </c>
      <c r="P24" s="302"/>
      <c r="Q24" s="302"/>
      <c r="R24" s="303">
        <f>I1</f>
        <v>6.3100000000000003E-2</v>
      </c>
      <c r="S24" s="303"/>
      <c r="T24" s="304">
        <f>O24*R24</f>
        <v>0.69410000000000005</v>
      </c>
      <c r="U24" s="305"/>
      <c r="V24" s="298"/>
      <c r="W24" s="298"/>
      <c r="X24" s="1"/>
      <c r="Z24" s="280"/>
      <c r="AA24" s="306" t="s">
        <v>57</v>
      </c>
      <c r="AB24" s="307"/>
      <c r="AC24" s="307"/>
      <c r="AD24" s="307"/>
      <c r="AE24" s="307"/>
      <c r="AF24" s="307"/>
      <c r="AG24" s="318">
        <f>AE26</f>
        <v>5.7520000000000002E-3</v>
      </c>
      <c r="AH24" s="73" t="s">
        <v>58</v>
      </c>
      <c r="AI24" s="74" t="s">
        <v>59</v>
      </c>
      <c r="AJ24" s="75" t="s">
        <v>60</v>
      </c>
    </row>
    <row r="25" spans="1:36" ht="10.95" customHeight="1" x14ac:dyDescent="0.25">
      <c r="A25" s="157">
        <v>1</v>
      </c>
      <c r="B25" s="6" t="s">
        <v>24</v>
      </c>
      <c r="C25" s="59">
        <v>0</v>
      </c>
      <c r="D25" s="8">
        <v>1251.758</v>
      </c>
      <c r="E25" s="8">
        <v>1251.7940000000001</v>
      </c>
      <c r="F25" s="59">
        <v>8.3333333333333329E-2</v>
      </c>
      <c r="G25" s="76">
        <f>(F25-C25)*24</f>
        <v>2</v>
      </c>
      <c r="H25" s="10">
        <f>IF(E25&gt;0,E25-D25,0)</f>
        <v>3.6000000000058208E-2</v>
      </c>
      <c r="I25" s="11">
        <f>SUM(H25*1.02264)*39.98/3.6</f>
        <v>0.40885147200066096</v>
      </c>
      <c r="J25" s="21">
        <f>IF(I25&gt;0,I25/G25,"")</f>
        <v>0.20442573600033048</v>
      </c>
      <c r="K25" s="56">
        <f>IF(L25&gt;0,L25/G25,"")</f>
        <v>1.2899263941620854E-2</v>
      </c>
      <c r="L25" s="14">
        <f>I25*$I$22</f>
        <v>2.5798527883241707E-2</v>
      </c>
      <c r="M25" s="452">
        <f t="shared" ref="M25:M34" si="15">IF(DATE(YEAR(C25),MONTH(C25),DAY(C25))=DATE(YEAR(F25),MONTH(F25),DAY(F25)),(F25-C25)*24,IF(F25-C25&gt;=TIME(23,59,59),INT((F25-C25)*24),MOD(F25-C25,1)*24))</f>
        <v>2</v>
      </c>
      <c r="O25" s="302">
        <v>24</v>
      </c>
      <c r="P25" s="302"/>
      <c r="Q25" s="302"/>
      <c r="R25" s="303">
        <f>I1</f>
        <v>6.3100000000000003E-2</v>
      </c>
      <c r="S25" s="303"/>
      <c r="T25" s="304">
        <f>O25*R25</f>
        <v>1.5144000000000002</v>
      </c>
      <c r="U25" s="305"/>
      <c r="V25" s="315">
        <f>T25-T24</f>
        <v>0.82030000000000014</v>
      </c>
      <c r="W25" s="315"/>
      <c r="Z25" s="280"/>
      <c r="AA25" s="293" t="s">
        <v>26</v>
      </c>
      <c r="AB25" s="294"/>
      <c r="AC25" s="69" t="s">
        <v>49</v>
      </c>
      <c r="AD25" s="70" t="s">
        <v>50</v>
      </c>
      <c r="AE25" s="295" t="s">
        <v>29</v>
      </c>
      <c r="AF25" s="296"/>
      <c r="AG25" s="319"/>
      <c r="AH25" s="309">
        <f>AG24*24</f>
        <v>0.138048</v>
      </c>
      <c r="AI25" s="311">
        <f>AH25*31</f>
        <v>4.2794879999999997</v>
      </c>
      <c r="AJ25" s="313">
        <f>AH25*365</f>
        <v>50.387520000000002</v>
      </c>
    </row>
    <row r="26" spans="1:36" ht="10.95" customHeight="1" thickBot="1" x14ac:dyDescent="0.3">
      <c r="A26" s="157">
        <f>A25+1</f>
        <v>2</v>
      </c>
      <c r="B26" s="6" t="s">
        <v>24</v>
      </c>
      <c r="C26" s="59">
        <v>0</v>
      </c>
      <c r="D26" s="8">
        <v>1251.7940000000001</v>
      </c>
      <c r="E26" s="8">
        <v>1251.896</v>
      </c>
      <c r="F26" s="59">
        <v>0.28125</v>
      </c>
      <c r="G26" s="78">
        <f>(F26-C26)*24</f>
        <v>6.75</v>
      </c>
      <c r="H26" s="10">
        <f t="shared" ref="H26:H34" si="16">IF(E26&gt;0,E26-D26,0)</f>
        <v>0.10199999999986176</v>
      </c>
      <c r="I26" s="11">
        <f t="shared" ref="I26:I34" si="17">SUM(H26*1.02264)*39.98/3.6</f>
        <v>1.1584125039984299</v>
      </c>
      <c r="J26" s="21">
        <f t="shared" ref="J26:J34" si="18">IF(I26&gt;0,I26/G26,"")</f>
        <v>0.17161666725902666</v>
      </c>
      <c r="K26" s="56">
        <f t="shared" ref="K26:K34" si="19">IF(L26&gt;0,L26/G26,"")</f>
        <v>1.0829011704044581E-2</v>
      </c>
      <c r="L26" s="14">
        <f t="shared" ref="L26:L34" si="20">I26*$I$22</f>
        <v>7.3095829002300924E-2</v>
      </c>
      <c r="M26" s="452">
        <f t="shared" si="15"/>
        <v>6.75</v>
      </c>
      <c r="O26" s="302">
        <v>30</v>
      </c>
      <c r="P26" s="302"/>
      <c r="Q26" s="302"/>
      <c r="R26" s="303">
        <f>I1</f>
        <v>6.3100000000000003E-2</v>
      </c>
      <c r="S26" s="303"/>
      <c r="T26" s="304">
        <f>O26*R26</f>
        <v>1.893</v>
      </c>
      <c r="U26" s="305"/>
      <c r="V26" s="315">
        <f>T26-T24</f>
        <v>1.1989000000000001</v>
      </c>
      <c r="W26" s="315"/>
      <c r="Y26" s="79"/>
      <c r="Z26" s="281"/>
      <c r="AA26" s="206">
        <v>1</v>
      </c>
      <c r="AB26" s="207"/>
      <c r="AC26" s="80">
        <v>5.0000000000000001E-3</v>
      </c>
      <c r="AD26" s="39">
        <f>AC26*32</f>
        <v>0.16</v>
      </c>
      <c r="AE26" s="316">
        <v>5.7520000000000002E-3</v>
      </c>
      <c r="AF26" s="317"/>
      <c r="AG26" s="320"/>
      <c r="AH26" s="310"/>
      <c r="AI26" s="312"/>
      <c r="AJ26" s="314"/>
    </row>
    <row r="27" spans="1:36" ht="10.95" customHeight="1" thickBot="1" x14ac:dyDescent="0.3">
      <c r="A27" s="157">
        <f t="shared" ref="A27:A34" si="21">A26+1</f>
        <v>3</v>
      </c>
      <c r="B27" s="6" t="s">
        <v>24</v>
      </c>
      <c r="C27" s="59">
        <v>0.23958333333333334</v>
      </c>
      <c r="D27" s="8">
        <v>1251.896</v>
      </c>
      <c r="E27" s="8">
        <v>1252.038</v>
      </c>
      <c r="F27" s="59">
        <v>0.57291666666666663</v>
      </c>
      <c r="G27" s="76">
        <f>(F27-C27)*24</f>
        <v>7.9999999999999982</v>
      </c>
      <c r="H27" s="10">
        <f t="shared" si="16"/>
        <v>0.14200000000005275</v>
      </c>
      <c r="I27" s="11">
        <f t="shared" si="17"/>
        <v>1.6126919173339325</v>
      </c>
      <c r="J27" s="21">
        <f t="shared" si="18"/>
        <v>0.20158648966674161</v>
      </c>
      <c r="K27" s="56">
        <f t="shared" si="19"/>
        <v>1.2720107497971396E-2</v>
      </c>
      <c r="L27" s="14">
        <f t="shared" si="20"/>
        <v>0.10176085998377114</v>
      </c>
      <c r="M27" s="452">
        <f t="shared" si="15"/>
        <v>7.9999999999999982</v>
      </c>
      <c r="O27" s="81"/>
      <c r="P27" s="81"/>
      <c r="Q27" s="81"/>
      <c r="R27" s="82"/>
      <c r="S27" s="82"/>
      <c r="T27" s="83"/>
      <c r="U27" s="84"/>
      <c r="V27" s="85"/>
      <c r="W27" s="85"/>
      <c r="Y27" s="79"/>
      <c r="Z27" s="333" t="s">
        <v>61</v>
      </c>
      <c r="AA27" s="282" t="s">
        <v>62</v>
      </c>
      <c r="AB27" s="283"/>
      <c r="AC27" s="283"/>
      <c r="AD27" s="283"/>
      <c r="AE27" s="283"/>
      <c r="AF27" s="283"/>
      <c r="AG27" s="284">
        <f>AE29</f>
        <v>4.0384000000000003E-2</v>
      </c>
      <c r="AH27" s="285"/>
      <c r="AI27" s="285"/>
      <c r="AJ27" s="286"/>
    </row>
    <row r="28" spans="1:36" ht="10.95" customHeight="1" x14ac:dyDescent="0.25">
      <c r="A28" s="157">
        <f t="shared" si="21"/>
        <v>4</v>
      </c>
      <c r="B28" s="6" t="s">
        <v>24</v>
      </c>
      <c r="C28" s="86">
        <v>45658</v>
      </c>
      <c r="D28" s="8">
        <v>1251.7940000000001</v>
      </c>
      <c r="E28" s="8">
        <v>1252.22</v>
      </c>
      <c r="F28" s="86">
        <v>45659</v>
      </c>
      <c r="G28" s="87">
        <f t="shared" ref="G28:G31" si="22">IF(E28&lt;&gt;0,INT((F28-C28)*24),"")</f>
        <v>24</v>
      </c>
      <c r="H28" s="10">
        <f t="shared" si="16"/>
        <v>0.42599999999993088</v>
      </c>
      <c r="I28" s="11">
        <f t="shared" si="17"/>
        <v>4.8380757519992139</v>
      </c>
      <c r="J28" s="21">
        <f t="shared" si="18"/>
        <v>0.20158648966663392</v>
      </c>
      <c r="K28" s="56">
        <f t="shared" si="19"/>
        <v>1.2720107497964601E-2</v>
      </c>
      <c r="L28" s="14">
        <f t="shared" si="20"/>
        <v>0.30528257995115043</v>
      </c>
      <c r="M28" s="453">
        <f t="shared" si="15"/>
        <v>24</v>
      </c>
      <c r="O28" s="336" t="s">
        <v>63</v>
      </c>
      <c r="P28" s="337"/>
      <c r="Q28" s="337"/>
      <c r="R28" s="337"/>
      <c r="S28" s="337"/>
      <c r="T28" s="337"/>
      <c r="U28" s="337"/>
      <c r="V28" s="337"/>
      <c r="W28" s="338"/>
      <c r="X28" s="201" t="s">
        <v>23</v>
      </c>
      <c r="Y28" s="79"/>
      <c r="Z28" s="334"/>
      <c r="AA28" s="293" t="s">
        <v>64</v>
      </c>
      <c r="AB28" s="294"/>
      <c r="AC28" s="69" t="s">
        <v>65</v>
      </c>
      <c r="AD28" s="88" t="s">
        <v>66</v>
      </c>
      <c r="AE28" s="342" t="s">
        <v>67</v>
      </c>
      <c r="AF28" s="343"/>
      <c r="AG28" s="287"/>
      <c r="AH28" s="288"/>
      <c r="AI28" s="288"/>
      <c r="AJ28" s="289"/>
    </row>
    <row r="29" spans="1:36" ht="10.95" customHeight="1" thickBot="1" x14ac:dyDescent="0.3">
      <c r="A29" s="157">
        <f t="shared" si="21"/>
        <v>5</v>
      </c>
      <c r="B29" s="6" t="s">
        <v>24</v>
      </c>
      <c r="C29" s="86">
        <v>45658</v>
      </c>
      <c r="D29" s="8">
        <v>1252.22</v>
      </c>
      <c r="E29" s="8">
        <v>1252.6389999999999</v>
      </c>
      <c r="F29" s="86">
        <v>45659</v>
      </c>
      <c r="G29" s="87">
        <f t="shared" si="22"/>
        <v>24</v>
      </c>
      <c r="H29" s="10">
        <f t="shared" si="16"/>
        <v>0.41899999999986903</v>
      </c>
      <c r="I29" s="11">
        <f t="shared" si="17"/>
        <v>4.7585768546651783</v>
      </c>
      <c r="J29" s="21">
        <f t="shared" si="18"/>
        <v>0.19827403561104909</v>
      </c>
      <c r="K29" s="56">
        <f t="shared" si="19"/>
        <v>1.25110916470572E-2</v>
      </c>
      <c r="L29" s="14">
        <f t="shared" si="20"/>
        <v>0.30026619952937278</v>
      </c>
      <c r="M29" s="453">
        <f t="shared" si="15"/>
        <v>24</v>
      </c>
      <c r="O29" s="339"/>
      <c r="P29" s="340"/>
      <c r="Q29" s="340"/>
      <c r="R29" s="340"/>
      <c r="S29" s="340"/>
      <c r="T29" s="340"/>
      <c r="U29" s="340"/>
      <c r="V29" s="340"/>
      <c r="W29" s="341"/>
      <c r="X29" s="202"/>
      <c r="Y29" s="89"/>
      <c r="Z29" s="334"/>
      <c r="AA29" s="206">
        <v>3</v>
      </c>
      <c r="AB29" s="207"/>
      <c r="AC29" s="54">
        <v>0.02</v>
      </c>
      <c r="AD29" s="90">
        <f>AC29*32</f>
        <v>0.64</v>
      </c>
      <c r="AE29" s="300">
        <v>4.0384000000000003E-2</v>
      </c>
      <c r="AF29" s="301"/>
      <c r="AG29" s="290"/>
      <c r="AH29" s="291"/>
      <c r="AI29" s="291"/>
      <c r="AJ29" s="292"/>
    </row>
    <row r="30" spans="1:36" ht="10.95" customHeight="1" x14ac:dyDescent="0.25">
      <c r="A30" s="157">
        <f t="shared" si="21"/>
        <v>6</v>
      </c>
      <c r="B30" s="6" t="s">
        <v>24</v>
      </c>
      <c r="C30" s="86">
        <v>45658.916666666664</v>
      </c>
      <c r="D30" s="8">
        <v>1251.758</v>
      </c>
      <c r="E30" s="8">
        <v>1251.7940000000001</v>
      </c>
      <c r="F30" s="86">
        <v>45659</v>
      </c>
      <c r="G30" s="91">
        <f>MOD(F30-C30,1)*24</f>
        <v>2.0000000000582077</v>
      </c>
      <c r="H30" s="10">
        <f t="shared" si="16"/>
        <v>3.6000000000058208E-2</v>
      </c>
      <c r="I30" s="11">
        <f t="shared" si="17"/>
        <v>0.40885147200066096</v>
      </c>
      <c r="J30" s="21">
        <f t="shared" si="18"/>
        <v>0.20442573599438091</v>
      </c>
      <c r="K30" s="56">
        <f t="shared" si="19"/>
        <v>1.2899263941245435E-2</v>
      </c>
      <c r="L30" s="14">
        <f t="shared" si="20"/>
        <v>2.5798527883241707E-2</v>
      </c>
      <c r="M30" s="454">
        <f t="shared" si="15"/>
        <v>2.0000000000582077</v>
      </c>
      <c r="O30" s="344" t="s">
        <v>26</v>
      </c>
      <c r="P30" s="345"/>
      <c r="Q30" s="92" t="s">
        <v>27</v>
      </c>
      <c r="R30" s="92" t="s">
        <v>28</v>
      </c>
      <c r="S30" s="93" t="s">
        <v>29</v>
      </c>
      <c r="T30" s="325" t="s">
        <v>68</v>
      </c>
      <c r="U30" s="325"/>
      <c r="V30" s="325"/>
      <c r="W30" s="326"/>
      <c r="X30" s="202"/>
      <c r="Y30" s="89"/>
      <c r="Z30" s="334"/>
      <c r="AA30" s="306" t="s">
        <v>69</v>
      </c>
      <c r="AB30" s="307"/>
      <c r="AC30" s="307"/>
      <c r="AD30" s="307"/>
      <c r="AE30" s="307"/>
      <c r="AF30" s="307"/>
      <c r="AG30" s="318">
        <f>AE32</f>
        <v>1.5143999999999999E-2</v>
      </c>
      <c r="AH30" s="73" t="s">
        <v>58</v>
      </c>
      <c r="AI30" s="74" t="s">
        <v>59</v>
      </c>
      <c r="AJ30" s="75" t="s">
        <v>60</v>
      </c>
    </row>
    <row r="31" spans="1:36" ht="10.95" customHeight="1" thickBot="1" x14ac:dyDescent="0.3">
      <c r="A31" s="157">
        <f t="shared" si="21"/>
        <v>7</v>
      </c>
      <c r="B31" s="31"/>
      <c r="C31" s="86"/>
      <c r="D31" s="8"/>
      <c r="E31" s="8"/>
      <c r="F31" s="86"/>
      <c r="G31" s="94" t="str">
        <f t="shared" si="22"/>
        <v/>
      </c>
      <c r="H31" s="32">
        <f t="shared" si="16"/>
        <v>0</v>
      </c>
      <c r="I31" s="60">
        <f t="shared" si="17"/>
        <v>0</v>
      </c>
      <c r="J31" s="12" t="str">
        <f t="shared" si="18"/>
        <v/>
      </c>
      <c r="K31" s="95" t="str">
        <f t="shared" si="19"/>
        <v/>
      </c>
      <c r="L31" s="14">
        <f t="shared" si="20"/>
        <v>0</v>
      </c>
      <c r="M31" s="455">
        <f t="shared" si="15"/>
        <v>0</v>
      </c>
      <c r="O31" s="329">
        <v>1</v>
      </c>
      <c r="P31" s="330"/>
      <c r="Q31" s="96">
        <f>H16</f>
        <v>2.0999999999958163E-2</v>
      </c>
      <c r="R31" s="27">
        <f>I16</f>
        <v>0.23849669199952486</v>
      </c>
      <c r="S31" s="97">
        <f>K16</f>
        <v>1.504914126517002E-2</v>
      </c>
      <c r="T31" s="327"/>
      <c r="U31" s="327"/>
      <c r="V31" s="327"/>
      <c r="W31" s="328"/>
      <c r="X31" s="202"/>
      <c r="Z31" s="334"/>
      <c r="AA31" s="293" t="s">
        <v>26</v>
      </c>
      <c r="AB31" s="294"/>
      <c r="AC31" s="69" t="s">
        <v>49</v>
      </c>
      <c r="AD31" s="69" t="s">
        <v>50</v>
      </c>
      <c r="AE31" s="331" t="s">
        <v>29</v>
      </c>
      <c r="AF31" s="332"/>
      <c r="AG31" s="319"/>
      <c r="AH31" s="309">
        <f>AG30*24</f>
        <v>0.363456</v>
      </c>
      <c r="AI31" s="311">
        <f>AH31*31</f>
        <v>11.267136000000001</v>
      </c>
      <c r="AJ31" s="313">
        <f>AH31*365</f>
        <v>132.66144</v>
      </c>
    </row>
    <row r="32" spans="1:36" ht="10.95" customHeight="1" thickBot="1" x14ac:dyDescent="0.3">
      <c r="A32" s="157">
        <f t="shared" si="21"/>
        <v>8</v>
      </c>
      <c r="B32" s="31"/>
      <c r="C32" s="59"/>
      <c r="D32" s="8"/>
      <c r="E32" s="8"/>
      <c r="F32" s="59"/>
      <c r="G32" s="94" t="str">
        <f>IF(E32&lt;&gt;0,INT((F32-C32)*24),"")</f>
        <v/>
      </c>
      <c r="H32" s="32">
        <f t="shared" si="16"/>
        <v>0</v>
      </c>
      <c r="I32" s="60">
        <f t="shared" si="17"/>
        <v>0</v>
      </c>
      <c r="J32" s="12" t="str">
        <f t="shared" si="18"/>
        <v/>
      </c>
      <c r="K32" s="95" t="str">
        <f t="shared" si="19"/>
        <v/>
      </c>
      <c r="L32" s="14">
        <f t="shared" si="20"/>
        <v>0</v>
      </c>
      <c r="M32" s="455">
        <f t="shared" si="15"/>
        <v>0</v>
      </c>
      <c r="O32" s="321" t="s">
        <v>26</v>
      </c>
      <c r="P32" s="322"/>
      <c r="Q32" s="98">
        <v>1</v>
      </c>
      <c r="R32" s="98">
        <v>6</v>
      </c>
      <c r="S32" s="99">
        <v>12</v>
      </c>
      <c r="T32" s="100" t="s">
        <v>58</v>
      </c>
      <c r="U32" s="100" t="s">
        <v>59</v>
      </c>
      <c r="V32" s="101" t="s">
        <v>70</v>
      </c>
      <c r="W32" s="101" t="s">
        <v>60</v>
      </c>
      <c r="X32" s="202"/>
      <c r="Z32" s="335"/>
      <c r="AA32" s="206">
        <v>1</v>
      </c>
      <c r="AB32" s="207"/>
      <c r="AC32" s="102">
        <v>7.4999999999999997E-3</v>
      </c>
      <c r="AD32" s="26">
        <f>AC32*32</f>
        <v>0.24</v>
      </c>
      <c r="AE32" s="323">
        <v>1.5143999999999999E-2</v>
      </c>
      <c r="AF32" s="324"/>
      <c r="AG32" s="320"/>
      <c r="AH32" s="310"/>
      <c r="AI32" s="312"/>
      <c r="AJ32" s="314"/>
    </row>
    <row r="33" spans="1:39" ht="10.95" customHeight="1" thickBot="1" x14ac:dyDescent="0.3">
      <c r="A33" s="157">
        <f t="shared" si="21"/>
        <v>9</v>
      </c>
      <c r="B33" s="31"/>
      <c r="C33" s="59"/>
      <c r="D33" s="8"/>
      <c r="E33" s="8"/>
      <c r="F33" s="59"/>
      <c r="G33" s="94" t="str">
        <f t="shared" ref="G33:G34" si="23">IF(E33&lt;&gt;0,INT((F33-C33)*24),"")</f>
        <v/>
      </c>
      <c r="H33" s="32">
        <f t="shared" si="16"/>
        <v>0</v>
      </c>
      <c r="I33" s="60">
        <f t="shared" si="17"/>
        <v>0</v>
      </c>
      <c r="J33" s="12" t="str">
        <f t="shared" si="18"/>
        <v/>
      </c>
      <c r="K33" s="95" t="str">
        <f t="shared" si="19"/>
        <v/>
      </c>
      <c r="L33" s="14">
        <f t="shared" si="20"/>
        <v>0</v>
      </c>
      <c r="M33" s="455">
        <f t="shared" si="15"/>
        <v>0</v>
      </c>
      <c r="O33" s="213" t="s">
        <v>33</v>
      </c>
      <c r="P33" s="214"/>
      <c r="Q33" s="236">
        <f>S31</f>
        <v>1.504914126517002E-2</v>
      </c>
      <c r="R33" s="238">
        <f>Q33*6</f>
        <v>9.0294847591020119E-2</v>
      </c>
      <c r="S33" s="223">
        <f>$L$20*12</f>
        <v>0.55896810413646936</v>
      </c>
      <c r="T33" s="369">
        <f>Q33*24</f>
        <v>0.36117939036408048</v>
      </c>
      <c r="U33" s="371">
        <f>W33/12</f>
        <v>10.985873123574114</v>
      </c>
      <c r="V33" s="354">
        <f>W33/4</f>
        <v>32.957619370722341</v>
      </c>
      <c r="W33" s="356">
        <f>T33*365</f>
        <v>131.83047748288936</v>
      </c>
      <c r="X33" s="202"/>
      <c r="AC33" s="1"/>
      <c r="AD33" s="1"/>
    </row>
    <row r="34" spans="1:39" ht="10.95" customHeight="1" thickBot="1" x14ac:dyDescent="0.3">
      <c r="A34" s="158">
        <f t="shared" si="21"/>
        <v>10</v>
      </c>
      <c r="B34" s="456"/>
      <c r="C34" s="457"/>
      <c r="D34" s="458"/>
      <c r="E34" s="458"/>
      <c r="F34" s="457"/>
      <c r="G34" s="459" t="str">
        <f t="shared" si="23"/>
        <v/>
      </c>
      <c r="H34" s="460">
        <f t="shared" si="16"/>
        <v>0</v>
      </c>
      <c r="I34" s="461">
        <f t="shared" si="17"/>
        <v>0</v>
      </c>
      <c r="J34" s="38" t="str">
        <f t="shared" si="18"/>
        <v/>
      </c>
      <c r="K34" s="462" t="str">
        <f t="shared" si="19"/>
        <v/>
      </c>
      <c r="L34" s="41">
        <f t="shared" si="20"/>
        <v>0</v>
      </c>
      <c r="M34" s="463">
        <f t="shared" si="15"/>
        <v>0</v>
      </c>
      <c r="O34" s="215"/>
      <c r="P34" s="216"/>
      <c r="Q34" s="237"/>
      <c r="R34" s="368"/>
      <c r="S34" s="224"/>
      <c r="T34" s="370"/>
      <c r="U34" s="372"/>
      <c r="V34" s="355"/>
      <c r="W34" s="357"/>
      <c r="X34" s="202"/>
      <c r="AA34" s="358" t="s">
        <v>71</v>
      </c>
      <c r="AB34" s="359"/>
      <c r="AC34" s="359"/>
      <c r="AD34" s="359"/>
      <c r="AE34" s="359"/>
      <c r="AF34" s="359"/>
      <c r="AG34" s="359"/>
      <c r="AH34" s="360"/>
      <c r="AI34" s="103" t="s">
        <v>72</v>
      </c>
      <c r="AJ34" s="101" t="s">
        <v>73</v>
      </c>
    </row>
    <row r="35" spans="1:39" ht="10.95" customHeight="1" x14ac:dyDescent="0.25">
      <c r="A35" s="413"/>
      <c r="B35" s="414"/>
      <c r="C35" s="415"/>
      <c r="D35" s="416"/>
      <c r="E35" s="416"/>
      <c r="F35" s="415"/>
      <c r="G35" s="415"/>
      <c r="H35" s="417"/>
      <c r="I35" s="418"/>
      <c r="J35" s="419"/>
      <c r="K35" s="420"/>
      <c r="L35" s="421"/>
      <c r="M35" s="66"/>
      <c r="O35" s="225" t="s">
        <v>34</v>
      </c>
      <c r="P35" s="226"/>
      <c r="Q35" s="43">
        <f>Q31</f>
        <v>2.0999999999958163E-2</v>
      </c>
      <c r="R35" s="44">
        <f>Q35*6</f>
        <v>0.12599999999974898</v>
      </c>
      <c r="S35" s="108">
        <f>Q35*12</f>
        <v>0.25199999999949796</v>
      </c>
      <c r="T35" s="109">
        <f>Q35*24</f>
        <v>0.50399999999899592</v>
      </c>
      <c r="U35" s="44">
        <f>W35/12</f>
        <v>15.329999999969459</v>
      </c>
      <c r="V35" s="44">
        <f>W35/4</f>
        <v>45.989999999908378</v>
      </c>
      <c r="W35" s="110">
        <f>T35*365</f>
        <v>183.95999999963351</v>
      </c>
      <c r="X35" s="202"/>
      <c r="AA35" s="361" t="s">
        <v>26</v>
      </c>
      <c r="AB35" s="233" t="s">
        <v>8</v>
      </c>
      <c r="AC35" s="346" t="s">
        <v>74</v>
      </c>
      <c r="AD35" s="346" t="s">
        <v>75</v>
      </c>
      <c r="AE35" s="364" t="s">
        <v>8</v>
      </c>
      <c r="AF35" s="366" t="s">
        <v>18</v>
      </c>
      <c r="AG35" s="346" t="s">
        <v>76</v>
      </c>
      <c r="AH35" s="348" t="s">
        <v>77</v>
      </c>
      <c r="AI35" s="350" t="s">
        <v>78</v>
      </c>
      <c r="AJ35" s="352" t="s">
        <v>79</v>
      </c>
    </row>
    <row r="36" spans="1:39" ht="10.95" customHeight="1" thickBot="1" x14ac:dyDescent="0.3">
      <c r="A36" s="159" t="s">
        <v>80</v>
      </c>
      <c r="B36" s="159"/>
      <c r="C36" s="159"/>
      <c r="D36" s="160"/>
      <c r="E36" s="160"/>
      <c r="F36" s="160"/>
      <c r="G36" s="160"/>
      <c r="H36" s="160"/>
      <c r="I36" s="161">
        <v>6.3100000000000003E-2</v>
      </c>
      <c r="J36" s="161"/>
      <c r="K36" s="161"/>
      <c r="L36" s="161"/>
      <c r="M36" s="161"/>
      <c r="O36" s="227" t="s">
        <v>28</v>
      </c>
      <c r="P36" s="228"/>
      <c r="Q36" s="48">
        <f>R31</f>
        <v>0.23849669199952486</v>
      </c>
      <c r="R36" s="49">
        <f>Q36*6</f>
        <v>1.4309801519971492</v>
      </c>
      <c r="S36" s="111">
        <f>Q36*12</f>
        <v>2.8619603039942985</v>
      </c>
      <c r="T36" s="112">
        <f>Q36*24</f>
        <v>5.7239206079885969</v>
      </c>
      <c r="U36" s="49">
        <f>W36/12</f>
        <v>174.10258515965316</v>
      </c>
      <c r="V36" s="49">
        <f>W36/4</f>
        <v>522.30775547895951</v>
      </c>
      <c r="W36" s="113">
        <f>T36*365</f>
        <v>2089.231021915838</v>
      </c>
      <c r="X36" s="203"/>
      <c r="Y36" s="1"/>
      <c r="AA36" s="362"/>
      <c r="AB36" s="363"/>
      <c r="AC36" s="347"/>
      <c r="AD36" s="347"/>
      <c r="AE36" s="365"/>
      <c r="AF36" s="367"/>
      <c r="AG36" s="347"/>
      <c r="AH36" s="349"/>
      <c r="AI36" s="351"/>
      <c r="AJ36" s="353"/>
    </row>
    <row r="37" spans="1:39" ht="10.95" customHeight="1" thickBot="1" x14ac:dyDescent="0.3">
      <c r="A37" s="174" t="s">
        <v>3</v>
      </c>
      <c r="B37" s="174" t="s">
        <v>4</v>
      </c>
      <c r="C37" s="269" t="s">
        <v>39</v>
      </c>
      <c r="D37" s="175" t="s">
        <v>6</v>
      </c>
      <c r="E37" s="175" t="s">
        <v>7</v>
      </c>
      <c r="F37" s="269" t="s">
        <v>40</v>
      </c>
      <c r="G37" s="174" t="s">
        <v>41</v>
      </c>
      <c r="H37" s="174" t="s">
        <v>10</v>
      </c>
      <c r="I37" s="174" t="s">
        <v>11</v>
      </c>
      <c r="J37" s="245" t="s">
        <v>12</v>
      </c>
      <c r="K37" s="174" t="s">
        <v>13</v>
      </c>
      <c r="L37" s="174" t="s">
        <v>14</v>
      </c>
      <c r="M37" s="176" t="s">
        <v>15</v>
      </c>
      <c r="O37" s="66"/>
      <c r="P37" s="66"/>
      <c r="R37" s="114"/>
      <c r="S37" s="67"/>
      <c r="T37" s="83"/>
      <c r="U37" s="115"/>
      <c r="V37" s="116"/>
      <c r="W37" s="116"/>
      <c r="Y37" s="1"/>
      <c r="Z37" s="373" t="s">
        <v>81</v>
      </c>
      <c r="AA37" s="117">
        <v>1</v>
      </c>
      <c r="AB37" s="118"/>
      <c r="AC37" s="119">
        <v>0.91666666666666663</v>
      </c>
      <c r="AD37" s="119">
        <v>0.95833333333333337</v>
      </c>
      <c r="AE37" s="120"/>
      <c r="AF37" s="121" t="str">
        <f>IF(AE37&gt;0,AE37-AB37,"")</f>
        <v/>
      </c>
      <c r="AG37" s="120"/>
      <c r="AH37" s="122"/>
      <c r="AI37" s="123">
        <f>IF(AC37&gt;0,AD37-AC37,"")*24</f>
        <v>1.0000000000000018</v>
      </c>
      <c r="AJ37" s="124">
        <f>IF(AC37&gt;0,AD37-AC37,"")</f>
        <v>4.1666666666666741E-2</v>
      </c>
      <c r="AK37" s="375" t="s">
        <v>82</v>
      </c>
    </row>
    <row r="38" spans="1:39" ht="10.95" customHeight="1" thickBot="1" x14ac:dyDescent="0.3">
      <c r="A38" s="174"/>
      <c r="B38" s="174"/>
      <c r="C38" s="269"/>
      <c r="D38" s="175"/>
      <c r="E38" s="175"/>
      <c r="F38" s="269"/>
      <c r="G38" s="174"/>
      <c r="H38" s="174"/>
      <c r="I38" s="174"/>
      <c r="J38" s="246"/>
      <c r="K38" s="174"/>
      <c r="L38" s="174"/>
      <c r="M38" s="176"/>
      <c r="O38" s="344" t="s">
        <v>26</v>
      </c>
      <c r="P38" s="345"/>
      <c r="Q38" s="92" t="s">
        <v>27</v>
      </c>
      <c r="R38" s="92" t="s">
        <v>28</v>
      </c>
      <c r="S38" s="93" t="s">
        <v>29</v>
      </c>
      <c r="T38" s="325" t="s">
        <v>83</v>
      </c>
      <c r="U38" s="325"/>
      <c r="V38" s="325"/>
      <c r="W38" s="326"/>
      <c r="X38" s="377" t="s">
        <v>84</v>
      </c>
      <c r="Z38" s="374"/>
      <c r="AA38" s="125">
        <f>AA37+1</f>
        <v>2</v>
      </c>
      <c r="AB38" s="126"/>
      <c r="AC38" s="127">
        <v>0.79166666666666663</v>
      </c>
      <c r="AD38" s="127">
        <v>0.875</v>
      </c>
      <c r="AE38" s="128"/>
      <c r="AF38" s="129" t="str">
        <f t="shared" ref="AF38:AF42" si="24">IF(AE38&gt;0,AE38-AB38,"")</f>
        <v/>
      </c>
      <c r="AG38" s="128"/>
      <c r="AH38" s="130"/>
      <c r="AI38" s="131">
        <f>IF(AC38&gt;0,AD38-AC38,"")*24</f>
        <v>2.0000000000000009</v>
      </c>
      <c r="AJ38" s="132">
        <f>IF(AC38&gt;0,AD38-AC38,"")</f>
        <v>8.333333333333337E-2</v>
      </c>
      <c r="AK38" s="376"/>
    </row>
    <row r="39" spans="1:39" ht="10.95" customHeight="1" thickBot="1" x14ac:dyDescent="0.3">
      <c r="A39" s="5">
        <v>1</v>
      </c>
      <c r="B39" s="25" t="s">
        <v>30</v>
      </c>
      <c r="C39" s="55"/>
      <c r="D39" s="8">
        <v>1251.671</v>
      </c>
      <c r="E39" s="8">
        <v>1251.7139999999999</v>
      </c>
      <c r="F39" s="55"/>
      <c r="G39" s="31">
        <v>1</v>
      </c>
      <c r="H39" s="10">
        <f t="shared" ref="H39:H43" si="25">IF(E39&gt;0,E39-D39,0)</f>
        <v>4.299999999989268E-2</v>
      </c>
      <c r="I39" s="11">
        <f t="shared" ref="I39:I43" si="26">SUM(H39*1.02264)*39.98/3.6</f>
        <v>0.48835036933211445</v>
      </c>
      <c r="J39" s="12">
        <f>I39</f>
        <v>0.48835036933211445</v>
      </c>
      <c r="K39" s="56">
        <f>I39*$I$36</f>
        <v>3.0814908304856423E-2</v>
      </c>
      <c r="L39" s="14">
        <f>SUM($K$39:K39)</f>
        <v>3.0814908304856423E-2</v>
      </c>
      <c r="M39" s="15" t="s">
        <v>85</v>
      </c>
      <c r="O39" s="329">
        <v>1</v>
      </c>
      <c r="P39" s="330"/>
      <c r="Q39" s="96">
        <f>H39</f>
        <v>4.299999999989268E-2</v>
      </c>
      <c r="R39" s="27">
        <f>I39</f>
        <v>0.48835036933211445</v>
      </c>
      <c r="S39" s="97">
        <f>K39</f>
        <v>3.0814908304856423E-2</v>
      </c>
      <c r="T39" s="327"/>
      <c r="U39" s="327"/>
      <c r="V39" s="327"/>
      <c r="W39" s="328"/>
      <c r="X39" s="378"/>
      <c r="Z39" s="380" t="s">
        <v>86</v>
      </c>
      <c r="AA39" s="133">
        <f t="shared" ref="AA39:AA42" si="27">AA38+1</f>
        <v>3</v>
      </c>
      <c r="AB39" s="134"/>
      <c r="AC39" s="86">
        <v>45658</v>
      </c>
      <c r="AD39" s="86">
        <v>45659.083333333336</v>
      </c>
      <c r="AE39" s="19"/>
      <c r="AF39" s="9" t="str">
        <f t="shared" si="24"/>
        <v/>
      </c>
      <c r="AG39" s="19"/>
      <c r="AH39" s="135"/>
      <c r="AI39" s="136">
        <f>MOD(AD39-AC39,1)*24</f>
        <v>2.0000000000582077</v>
      </c>
      <c r="AJ39" s="137">
        <f>MOD(AD39-AC39,1)</f>
        <v>8.3333333335758653E-2</v>
      </c>
      <c r="AK39" s="381" t="s">
        <v>87</v>
      </c>
      <c r="AL39" s="391" t="s">
        <v>88</v>
      </c>
      <c r="AM39" s="392"/>
    </row>
    <row r="40" spans="1:39" ht="10.95" customHeight="1" thickBot="1" x14ac:dyDescent="0.3">
      <c r="A40" s="7">
        <f>A39+1</f>
        <v>2</v>
      </c>
      <c r="B40" s="31"/>
      <c r="C40" s="19"/>
      <c r="D40" s="8"/>
      <c r="E40" s="8"/>
      <c r="F40" s="19"/>
      <c r="G40" s="7">
        <f t="shared" ref="G40:G43" si="28">F40-C40</f>
        <v>0</v>
      </c>
      <c r="H40" s="32">
        <f t="shared" si="25"/>
        <v>0</v>
      </c>
      <c r="I40" s="20">
        <f t="shared" si="26"/>
        <v>0</v>
      </c>
      <c r="J40" s="12">
        <f>IF(I40&gt;0.01,SUM($I$39:I40)/A40,0)</f>
        <v>0</v>
      </c>
      <c r="K40" s="61">
        <f t="shared" ref="K40:K43" si="29">I40*$I$36</f>
        <v>0</v>
      </c>
      <c r="L40" s="14">
        <f>SUM($K$39:K40)</f>
        <v>3.0814908304856423E-2</v>
      </c>
      <c r="M40" s="7"/>
      <c r="O40" s="321" t="s">
        <v>26</v>
      </c>
      <c r="P40" s="322"/>
      <c r="Q40" s="98">
        <v>1</v>
      </c>
      <c r="R40" s="98">
        <v>6</v>
      </c>
      <c r="S40" s="99">
        <v>12</v>
      </c>
      <c r="T40" s="100" t="s">
        <v>58</v>
      </c>
      <c r="U40" s="100" t="s">
        <v>59</v>
      </c>
      <c r="V40" s="101" t="s">
        <v>70</v>
      </c>
      <c r="W40" s="101" t="s">
        <v>60</v>
      </c>
      <c r="X40" s="378"/>
      <c r="Z40" s="380"/>
      <c r="AA40" s="125">
        <f t="shared" si="27"/>
        <v>4</v>
      </c>
      <c r="AB40" s="134"/>
      <c r="AC40" s="86">
        <v>45658</v>
      </c>
      <c r="AD40" s="86">
        <v>45659.28125</v>
      </c>
      <c r="AE40" s="19"/>
      <c r="AF40" s="9" t="str">
        <f t="shared" si="24"/>
        <v/>
      </c>
      <c r="AG40" s="19"/>
      <c r="AH40" s="135"/>
      <c r="AI40" s="138">
        <f>MOD(AD40-AC40,1)*24</f>
        <v>6.75</v>
      </c>
      <c r="AJ40" s="139">
        <f>MOD(AD40-AC40,1)</f>
        <v>0.28125</v>
      </c>
      <c r="AK40" s="381"/>
      <c r="AL40" s="391"/>
      <c r="AM40" s="392"/>
    </row>
    <row r="41" spans="1:39" ht="10.95" customHeight="1" x14ac:dyDescent="0.25">
      <c r="A41" s="7">
        <f>A40+1</f>
        <v>3</v>
      </c>
      <c r="B41" s="31"/>
      <c r="C41" s="19"/>
      <c r="D41" s="8"/>
      <c r="E41" s="8"/>
      <c r="F41" s="19"/>
      <c r="G41" s="7">
        <f t="shared" si="28"/>
        <v>0</v>
      </c>
      <c r="H41" s="32">
        <f t="shared" si="25"/>
        <v>0</v>
      </c>
      <c r="I41" s="20">
        <f t="shared" si="26"/>
        <v>0</v>
      </c>
      <c r="J41" s="12">
        <f>IF(I41&gt;0.01,SUM($I$39:I41)/A41,0)</f>
        <v>0</v>
      </c>
      <c r="K41" s="61">
        <f t="shared" si="29"/>
        <v>0</v>
      </c>
      <c r="L41" s="14">
        <f>SUM($K$39:K41)</f>
        <v>3.0814908304856423E-2</v>
      </c>
      <c r="M41" s="7"/>
      <c r="O41" s="213" t="s">
        <v>33</v>
      </c>
      <c r="P41" s="214"/>
      <c r="Q41" s="236">
        <f>S39</f>
        <v>3.0814908304856423E-2</v>
      </c>
      <c r="R41" s="238">
        <f>Q41*6</f>
        <v>0.18488944982913855</v>
      </c>
      <c r="S41" s="223">
        <f>$L$20*12</f>
        <v>0.55896810413646936</v>
      </c>
      <c r="T41" s="369">
        <f>Q41*24</f>
        <v>0.73955779931655419</v>
      </c>
      <c r="U41" s="371">
        <f>W41/12</f>
        <v>22.494883062545188</v>
      </c>
      <c r="V41" s="354">
        <f>W41/4</f>
        <v>67.484649187635569</v>
      </c>
      <c r="W41" s="356">
        <f>T41*365</f>
        <v>269.93859675054227</v>
      </c>
      <c r="X41" s="378"/>
      <c r="Z41" s="382" t="s">
        <v>89</v>
      </c>
      <c r="AA41" s="140">
        <f t="shared" si="27"/>
        <v>5</v>
      </c>
      <c r="AB41" s="134"/>
      <c r="AC41" s="86">
        <v>45658</v>
      </c>
      <c r="AD41" s="86">
        <v>45659</v>
      </c>
      <c r="AE41" s="19"/>
      <c r="AF41" s="9" t="str">
        <f t="shared" si="24"/>
        <v/>
      </c>
      <c r="AG41" s="19"/>
      <c r="AH41" s="135"/>
      <c r="AI41" s="136">
        <f>INT((AD41-AC41)*24)</f>
        <v>24</v>
      </c>
      <c r="AJ41" s="141">
        <f>AI41/24</f>
        <v>1</v>
      </c>
      <c r="AK41" s="384" t="s">
        <v>90</v>
      </c>
    </row>
    <row r="42" spans="1:39" ht="10.95" customHeight="1" thickBot="1" x14ac:dyDescent="0.3">
      <c r="A42" s="7">
        <f t="shared" ref="A42:A43" si="30">A41+1</f>
        <v>4</v>
      </c>
      <c r="B42" s="31"/>
      <c r="C42" s="19"/>
      <c r="D42" s="8"/>
      <c r="E42" s="8"/>
      <c r="F42" s="19"/>
      <c r="G42" s="7">
        <f t="shared" si="28"/>
        <v>0</v>
      </c>
      <c r="H42" s="32">
        <f t="shared" si="25"/>
        <v>0</v>
      </c>
      <c r="I42" s="20">
        <f t="shared" si="26"/>
        <v>0</v>
      </c>
      <c r="J42" s="12">
        <f>IF(I42&gt;0.01,SUM($I$39:I42)/A42,0)</f>
        <v>0</v>
      </c>
      <c r="K42" s="61">
        <f t="shared" si="29"/>
        <v>0</v>
      </c>
      <c r="L42" s="14">
        <f>SUM($K$39:K42)</f>
        <v>3.0814908304856423E-2</v>
      </c>
      <c r="M42" s="7"/>
      <c r="O42" s="243"/>
      <c r="P42" s="244"/>
      <c r="Q42" s="265"/>
      <c r="R42" s="393"/>
      <c r="S42" s="276"/>
      <c r="T42" s="394"/>
      <c r="U42" s="395"/>
      <c r="V42" s="396"/>
      <c r="W42" s="397"/>
      <c r="X42" s="378"/>
      <c r="Z42" s="383"/>
      <c r="AA42" s="125">
        <f t="shared" si="27"/>
        <v>6</v>
      </c>
      <c r="AB42" s="134"/>
      <c r="AC42" s="86">
        <v>45658</v>
      </c>
      <c r="AD42" s="86">
        <v>45659.125</v>
      </c>
      <c r="AE42" s="19"/>
      <c r="AF42" s="9" t="str">
        <f t="shared" si="24"/>
        <v/>
      </c>
      <c r="AG42" s="19"/>
      <c r="AH42" s="142"/>
      <c r="AI42" s="143">
        <f>INT((AD42-AC42)*24)</f>
        <v>27</v>
      </c>
      <c r="AJ42" s="144">
        <f>AI42/24</f>
        <v>1.125</v>
      </c>
      <c r="AK42" s="385"/>
    </row>
    <row r="43" spans="1:39" ht="10.95" customHeight="1" thickBot="1" x14ac:dyDescent="0.3">
      <c r="A43" s="7">
        <f t="shared" si="30"/>
        <v>5</v>
      </c>
      <c r="B43" s="31"/>
      <c r="C43" s="19"/>
      <c r="D43" s="8"/>
      <c r="E43" s="8"/>
      <c r="F43" s="19"/>
      <c r="G43" s="7">
        <f t="shared" si="28"/>
        <v>0</v>
      </c>
      <c r="H43" s="32">
        <f t="shared" si="25"/>
        <v>0</v>
      </c>
      <c r="I43" s="20">
        <f t="shared" si="26"/>
        <v>0</v>
      </c>
      <c r="J43" s="12">
        <f>IF(I43&gt;0.01,SUM($I$39:I43)/A43,0)</f>
        <v>0</v>
      </c>
      <c r="K43" s="61">
        <f t="shared" si="29"/>
        <v>0</v>
      </c>
      <c r="L43" s="14">
        <f>SUM($K$39:K43)</f>
        <v>3.0814908304856423E-2</v>
      </c>
      <c r="M43" s="7"/>
      <c r="O43" s="225" t="s">
        <v>34</v>
      </c>
      <c r="P43" s="226"/>
      <c r="Q43" s="43">
        <f>Q39</f>
        <v>4.299999999989268E-2</v>
      </c>
      <c r="R43" s="44">
        <f>Q43*6</f>
        <v>0.25799999999935608</v>
      </c>
      <c r="S43" s="108">
        <f>Q43*12</f>
        <v>0.51599999999871216</v>
      </c>
      <c r="T43" s="109">
        <f>Q43*24</f>
        <v>1.0319999999974243</v>
      </c>
      <c r="U43" s="44">
        <f>W43/12</f>
        <v>31.389999999921656</v>
      </c>
      <c r="V43" s="44">
        <f>W43/4</f>
        <v>94.169999999764968</v>
      </c>
      <c r="W43" s="110">
        <f>T43*365</f>
        <v>376.67999999905987</v>
      </c>
      <c r="X43" s="378"/>
      <c r="AC43" s="1"/>
      <c r="AD43" s="1"/>
    </row>
    <row r="44" spans="1:39" ht="10.95" customHeight="1" thickBot="1" x14ac:dyDescent="0.3">
      <c r="O44" s="227" t="s">
        <v>28</v>
      </c>
      <c r="P44" s="228"/>
      <c r="Q44" s="48">
        <f>R39</f>
        <v>0.48835036933211445</v>
      </c>
      <c r="R44" s="49">
        <f>Q44*6</f>
        <v>2.9301022159926866</v>
      </c>
      <c r="S44" s="111">
        <f>Q44*12</f>
        <v>5.8602044319853732</v>
      </c>
      <c r="T44" s="112">
        <f>Q44*24</f>
        <v>11.720408863970746</v>
      </c>
      <c r="U44" s="49">
        <f>W44/12</f>
        <v>356.49576961244355</v>
      </c>
      <c r="V44" s="49">
        <f>W44/4</f>
        <v>1069.4873088373306</v>
      </c>
      <c r="W44" s="113">
        <f>T44*365</f>
        <v>4277.9492353493224</v>
      </c>
      <c r="X44" s="379"/>
      <c r="AA44" s="422" t="s">
        <v>91</v>
      </c>
      <c r="AB44" s="423"/>
      <c r="AC44" s="424" t="s">
        <v>92</v>
      </c>
      <c r="AD44" s="425" t="s">
        <v>93</v>
      </c>
      <c r="AE44" s="425"/>
      <c r="AF44" s="425"/>
      <c r="AG44" s="425"/>
      <c r="AH44" s="425"/>
      <c r="AI44" s="425"/>
      <c r="AJ44" s="426"/>
    </row>
    <row r="45" spans="1:39" ht="10.95" customHeight="1" x14ac:dyDescent="0.25">
      <c r="A45" s="398" t="s">
        <v>94</v>
      </c>
      <c r="B45" s="399"/>
      <c r="C45" s="399"/>
      <c r="D45" s="399"/>
      <c r="E45" s="399"/>
      <c r="F45" s="399"/>
      <c r="G45" s="399"/>
      <c r="H45" s="400"/>
      <c r="T45" s="68"/>
      <c r="AA45" s="427"/>
      <c r="AB45" s="386"/>
      <c r="AC45" s="387"/>
      <c r="AD45" s="388"/>
      <c r="AE45" s="388"/>
      <c r="AF45" s="388"/>
      <c r="AG45" s="388"/>
      <c r="AH45" s="388"/>
      <c r="AI45" s="388"/>
      <c r="AJ45" s="428"/>
    </row>
    <row r="46" spans="1:39" ht="10.95" customHeight="1" x14ac:dyDescent="0.25">
      <c r="A46" s="401" t="s">
        <v>95</v>
      </c>
      <c r="B46" s="401"/>
      <c r="C46" s="402" t="s">
        <v>96</v>
      </c>
      <c r="D46" s="403"/>
      <c r="E46" s="147" t="s">
        <v>97</v>
      </c>
      <c r="F46" s="404" t="s">
        <v>98</v>
      </c>
      <c r="G46" s="404"/>
      <c r="H46" s="147" t="s">
        <v>11</v>
      </c>
      <c r="AA46" s="427"/>
      <c r="AB46" s="386"/>
      <c r="AC46" s="145" t="s">
        <v>99</v>
      </c>
      <c r="AD46" s="405" t="s">
        <v>100</v>
      </c>
      <c r="AE46" s="406"/>
      <c r="AF46" s="406"/>
      <c r="AG46" s="406"/>
      <c r="AH46" s="406"/>
      <c r="AI46" s="406"/>
      <c r="AJ46" s="429"/>
    </row>
    <row r="47" spans="1:39" ht="10.95" customHeight="1" x14ac:dyDescent="0.25">
      <c r="A47" s="407">
        <v>0.65400000000000003</v>
      </c>
      <c r="B47" s="407"/>
      <c r="C47" s="408">
        <v>1.02264</v>
      </c>
      <c r="D47" s="409"/>
      <c r="E47" s="146">
        <v>39.979999999999997</v>
      </c>
      <c r="F47" s="401">
        <v>3.6</v>
      </c>
      <c r="G47" s="401"/>
      <c r="H47" s="148">
        <f>SUM(A47*C47)*E47/F47</f>
        <v>7.4274684079999993</v>
      </c>
      <c r="U47" s="1"/>
      <c r="AA47" s="427"/>
      <c r="AB47" s="386"/>
      <c r="AC47" s="145" t="s">
        <v>101</v>
      </c>
      <c r="AD47" s="410" t="s">
        <v>102</v>
      </c>
      <c r="AE47" s="410"/>
      <c r="AF47" s="410"/>
      <c r="AG47" s="410"/>
      <c r="AH47" s="410"/>
      <c r="AI47" s="410"/>
      <c r="AJ47" s="430"/>
    </row>
    <row r="48" spans="1:39" ht="10.95" customHeight="1" x14ac:dyDescent="0.25">
      <c r="AA48" s="427"/>
      <c r="AB48" s="386"/>
      <c r="AC48" s="149" t="s">
        <v>103</v>
      </c>
      <c r="AD48" s="389" t="s">
        <v>104</v>
      </c>
      <c r="AE48" s="389"/>
      <c r="AF48" s="389"/>
      <c r="AG48" s="389"/>
      <c r="AH48" s="390" t="s">
        <v>105</v>
      </c>
      <c r="AI48" s="390"/>
      <c r="AJ48" s="431"/>
      <c r="AK48" s="150" t="s">
        <v>89</v>
      </c>
    </row>
    <row r="49" spans="1:37" ht="10.95" customHeight="1" thickBot="1" x14ac:dyDescent="0.3">
      <c r="A49" s="398" t="s">
        <v>106</v>
      </c>
      <c r="B49" s="399"/>
      <c r="C49" s="399"/>
      <c r="D49" s="399"/>
      <c r="E49" s="399"/>
      <c r="F49" s="399"/>
      <c r="G49" s="399"/>
      <c r="H49" s="400"/>
      <c r="AA49" s="432"/>
      <c r="AB49" s="433"/>
      <c r="AC49" s="434" t="s">
        <v>107</v>
      </c>
      <c r="AD49" s="435" t="s">
        <v>108</v>
      </c>
      <c r="AE49" s="435"/>
      <c r="AF49" s="435"/>
      <c r="AG49" s="435"/>
      <c r="AH49" s="436" t="s">
        <v>109</v>
      </c>
      <c r="AI49" s="436"/>
      <c r="AJ49" s="437"/>
      <c r="AK49" s="151" t="s">
        <v>86</v>
      </c>
    </row>
    <row r="50" spans="1:37" ht="10.95" customHeight="1" x14ac:dyDescent="0.25">
      <c r="A50" s="404" t="s">
        <v>11</v>
      </c>
      <c r="B50" s="404"/>
      <c r="C50" s="402" t="s">
        <v>96</v>
      </c>
      <c r="D50" s="403"/>
      <c r="E50" s="147" t="s">
        <v>97</v>
      </c>
      <c r="F50" s="404" t="s">
        <v>98</v>
      </c>
      <c r="G50" s="404"/>
      <c r="H50" s="146" t="s">
        <v>95</v>
      </c>
      <c r="AA50" s="152"/>
      <c r="AB50" s="152"/>
      <c r="AC50" s="153"/>
      <c r="AD50" s="153"/>
      <c r="AE50" s="152"/>
      <c r="AF50" s="152"/>
      <c r="AG50" s="152"/>
      <c r="AH50" s="152"/>
      <c r="AI50" s="152"/>
      <c r="AJ50" s="152"/>
    </row>
    <row r="51" spans="1:37" ht="10.95" customHeight="1" x14ac:dyDescent="0.25">
      <c r="A51" s="411">
        <f>H47</f>
        <v>7.4274684079999993</v>
      </c>
      <c r="B51" s="412"/>
      <c r="C51" s="408">
        <v>1.02264</v>
      </c>
      <c r="D51" s="409"/>
      <c r="E51" s="146">
        <v>39.979999999999997</v>
      </c>
      <c r="F51" s="401">
        <v>3.6</v>
      </c>
      <c r="G51" s="401"/>
      <c r="H51" s="77">
        <f>A51/C51/E51*F51</f>
        <v>0.65400000000000003</v>
      </c>
      <c r="AC51" s="1"/>
      <c r="AD51" s="1"/>
      <c r="AJ51" s="154"/>
      <c r="AK51" s="154"/>
    </row>
    <row r="52" spans="1:37" ht="10.95" customHeight="1" x14ac:dyDescent="0.25">
      <c r="D52" s="66"/>
      <c r="E52" s="155"/>
      <c r="AC52" s="1"/>
      <c r="AD52" s="1"/>
      <c r="AJ52" s="156"/>
      <c r="AK52" s="156"/>
    </row>
    <row r="53" spans="1:37" ht="10.95" customHeight="1" x14ac:dyDescent="0.25">
      <c r="AC53" s="1"/>
      <c r="AD53" s="1"/>
      <c r="AJ53" s="154"/>
      <c r="AK53" s="154"/>
    </row>
  </sheetData>
  <mergeCells count="241">
    <mergeCell ref="A51:B51"/>
    <mergeCell ref="C51:D51"/>
    <mergeCell ref="F51:G51"/>
    <mergeCell ref="A49:H49"/>
    <mergeCell ref="AD49:AG49"/>
    <mergeCell ref="AH49:AJ49"/>
    <mergeCell ref="A50:B50"/>
    <mergeCell ref="C50:D50"/>
    <mergeCell ref="F50:G50"/>
    <mergeCell ref="A45:H45"/>
    <mergeCell ref="A46:B46"/>
    <mergeCell ref="C46:D46"/>
    <mergeCell ref="F46:G46"/>
    <mergeCell ref="AD46:AJ46"/>
    <mergeCell ref="A47:B47"/>
    <mergeCell ref="C47:D47"/>
    <mergeCell ref="F47:G47"/>
    <mergeCell ref="AD47:AJ47"/>
    <mergeCell ref="AL39:AM40"/>
    <mergeCell ref="O40:P40"/>
    <mergeCell ref="O41:P42"/>
    <mergeCell ref="Q41:Q42"/>
    <mergeCell ref="R41:R42"/>
    <mergeCell ref="S41:S42"/>
    <mergeCell ref="T41:T42"/>
    <mergeCell ref="U41:U42"/>
    <mergeCell ref="V41:V42"/>
    <mergeCell ref="W41:W42"/>
    <mergeCell ref="M37:M38"/>
    <mergeCell ref="Z37:Z38"/>
    <mergeCell ref="AK37:AK38"/>
    <mergeCell ref="O38:P38"/>
    <mergeCell ref="T38:W39"/>
    <mergeCell ref="X38:X44"/>
    <mergeCell ref="O39:P39"/>
    <mergeCell ref="Z39:Z40"/>
    <mergeCell ref="AK39:AK40"/>
    <mergeCell ref="Z41:Z42"/>
    <mergeCell ref="AK41:AK42"/>
    <mergeCell ref="O43:P43"/>
    <mergeCell ref="O44:P44"/>
    <mergeCell ref="AA44:AB49"/>
    <mergeCell ref="AC44:AC45"/>
    <mergeCell ref="AD44:AJ45"/>
    <mergeCell ref="AD48:AG48"/>
    <mergeCell ref="AH48:AJ48"/>
    <mergeCell ref="G37:G38"/>
    <mergeCell ref="H37:H38"/>
    <mergeCell ref="I37:I38"/>
    <mergeCell ref="J37:J38"/>
    <mergeCell ref="K37:K38"/>
    <mergeCell ref="L37:L38"/>
    <mergeCell ref="A37:A38"/>
    <mergeCell ref="B37:B38"/>
    <mergeCell ref="C37:C38"/>
    <mergeCell ref="D37:D38"/>
    <mergeCell ref="E37:E38"/>
    <mergeCell ref="F37:F38"/>
    <mergeCell ref="AI35:AI36"/>
    <mergeCell ref="AJ35:AJ36"/>
    <mergeCell ref="A36:H36"/>
    <mergeCell ref="I36:M36"/>
    <mergeCell ref="O36:P36"/>
    <mergeCell ref="V33:V34"/>
    <mergeCell ref="W33:W34"/>
    <mergeCell ref="AA34:AH34"/>
    <mergeCell ref="O35:P35"/>
    <mergeCell ref="AA35:AA36"/>
    <mergeCell ref="AB35:AB36"/>
    <mergeCell ref="AC35:AC36"/>
    <mergeCell ref="AD35:AD36"/>
    <mergeCell ref="AE35:AE36"/>
    <mergeCell ref="AF35:AF36"/>
    <mergeCell ref="O33:P34"/>
    <mergeCell ref="Q33:Q34"/>
    <mergeCell ref="R33:R34"/>
    <mergeCell ref="S33:S34"/>
    <mergeCell ref="T33:T34"/>
    <mergeCell ref="U33:U34"/>
    <mergeCell ref="AH31:AH32"/>
    <mergeCell ref="AI31:AI32"/>
    <mergeCell ref="AJ31:AJ32"/>
    <mergeCell ref="O32:P32"/>
    <mergeCell ref="AA32:AB32"/>
    <mergeCell ref="AE32:AF32"/>
    <mergeCell ref="T30:W31"/>
    <mergeCell ref="AA30:AF30"/>
    <mergeCell ref="AG30:AG32"/>
    <mergeCell ref="O31:P31"/>
    <mergeCell ref="AA31:AB31"/>
    <mergeCell ref="AE31:AF31"/>
    <mergeCell ref="Z27:Z32"/>
    <mergeCell ref="AA27:AF27"/>
    <mergeCell ref="AG27:AJ29"/>
    <mergeCell ref="O28:W29"/>
    <mergeCell ref="X28:X36"/>
    <mergeCell ref="AA28:AB28"/>
    <mergeCell ref="AE28:AF28"/>
    <mergeCell ref="AA29:AB29"/>
    <mergeCell ref="AE29:AF29"/>
    <mergeCell ref="O30:P30"/>
    <mergeCell ref="AG35:AG36"/>
    <mergeCell ref="AH35:AH36"/>
    <mergeCell ref="AH25:AH26"/>
    <mergeCell ref="AI25:AI26"/>
    <mergeCell ref="AJ25:AJ26"/>
    <mergeCell ref="O26:Q26"/>
    <mergeCell ref="R26:S26"/>
    <mergeCell ref="T26:U26"/>
    <mergeCell ref="V26:W26"/>
    <mergeCell ref="AA26:AB26"/>
    <mergeCell ref="AE26:AF26"/>
    <mergeCell ref="AG24:AG26"/>
    <mergeCell ref="O25:Q25"/>
    <mergeCell ref="R25:S25"/>
    <mergeCell ref="T25:U25"/>
    <mergeCell ref="V25:W25"/>
    <mergeCell ref="AA25:AB25"/>
    <mergeCell ref="AE25:AF25"/>
    <mergeCell ref="AA21:AF21"/>
    <mergeCell ref="AG21:AJ23"/>
    <mergeCell ref="A22:H22"/>
    <mergeCell ref="I22:M22"/>
    <mergeCell ref="AA22:AB22"/>
    <mergeCell ref="AE22:AF22"/>
    <mergeCell ref="A23:A24"/>
    <mergeCell ref="B23:B24"/>
    <mergeCell ref="C23:C24"/>
    <mergeCell ref="T23:U23"/>
    <mergeCell ref="V23:W24"/>
    <mergeCell ref="AA23:AB23"/>
    <mergeCell ref="AE23:AF23"/>
    <mergeCell ref="O24:Q24"/>
    <mergeCell ref="R24:S24"/>
    <mergeCell ref="T24:U24"/>
    <mergeCell ref="AA24:AF24"/>
    <mergeCell ref="J23:J24"/>
    <mergeCell ref="K23:K24"/>
    <mergeCell ref="L23:L24"/>
    <mergeCell ref="M23:M24"/>
    <mergeCell ref="O23:Q23"/>
    <mergeCell ref="R23:S23"/>
    <mergeCell ref="O15:P15"/>
    <mergeCell ref="O16:W16"/>
    <mergeCell ref="D23:D24"/>
    <mergeCell ref="E23:E24"/>
    <mergeCell ref="F23:F24"/>
    <mergeCell ref="G23:G24"/>
    <mergeCell ref="H23:H24"/>
    <mergeCell ref="I23:I24"/>
    <mergeCell ref="Z21:Z26"/>
    <mergeCell ref="AG16:AJ19"/>
    <mergeCell ref="O17:P17"/>
    <mergeCell ref="O18:P19"/>
    <mergeCell ref="Q18:Q19"/>
    <mergeCell ref="R18:R19"/>
    <mergeCell ref="S18:S19"/>
    <mergeCell ref="AJ13:AJ1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AC13:AC14"/>
    <mergeCell ref="AD13:AD14"/>
    <mergeCell ref="AE13:AF14"/>
    <mergeCell ref="AG13:AG14"/>
    <mergeCell ref="AH13:AH14"/>
    <mergeCell ref="AI13:AI14"/>
    <mergeCell ref="A13:H13"/>
    <mergeCell ref="T18:T19"/>
    <mergeCell ref="AA12:AB12"/>
    <mergeCell ref="AE12:AF12"/>
    <mergeCell ref="Q8:Q9"/>
    <mergeCell ref="R8:R9"/>
    <mergeCell ref="S8:S9"/>
    <mergeCell ref="T8:T9"/>
    <mergeCell ref="U8:U9"/>
    <mergeCell ref="V8:V9"/>
    <mergeCell ref="I13:M13"/>
    <mergeCell ref="O13:S13"/>
    <mergeCell ref="T13:W15"/>
    <mergeCell ref="X13:X21"/>
    <mergeCell ref="AA13:AB14"/>
    <mergeCell ref="J14:J15"/>
    <mergeCell ref="K14:K15"/>
    <mergeCell ref="L14:L15"/>
    <mergeCell ref="M14:M15"/>
    <mergeCell ref="AA16:AF19"/>
    <mergeCell ref="U18:U19"/>
    <mergeCell ref="V18:V19"/>
    <mergeCell ref="W18:W19"/>
    <mergeCell ref="O20:P20"/>
    <mergeCell ref="O21:P21"/>
    <mergeCell ref="O14:P14"/>
    <mergeCell ref="AF2:AF3"/>
    <mergeCell ref="AG2:AG3"/>
    <mergeCell ref="AH2:AH3"/>
    <mergeCell ref="AI2:AI3"/>
    <mergeCell ref="AJ2:AJ3"/>
    <mergeCell ref="W8:W9"/>
    <mergeCell ref="O10:P10"/>
    <mergeCell ref="O11:P11"/>
    <mergeCell ref="AA11:AJ11"/>
    <mergeCell ref="O3:S3"/>
    <mergeCell ref="T3:W5"/>
    <mergeCell ref="X3:X11"/>
    <mergeCell ref="O4:P4"/>
    <mergeCell ref="O5:P5"/>
    <mergeCell ref="O6:W6"/>
    <mergeCell ref="O7:P7"/>
    <mergeCell ref="O8:P9"/>
    <mergeCell ref="AE2:AE3"/>
    <mergeCell ref="A1:H1"/>
    <mergeCell ref="I1:M1"/>
    <mergeCell ref="O1:X2"/>
    <mergeCell ref="AA1:AG1"/>
    <mergeCell ref="AH1:AL1"/>
    <mergeCell ref="A2:A3"/>
    <mergeCell ref="B2:B3"/>
    <mergeCell ref="C2:C3"/>
    <mergeCell ref="D2:D3"/>
    <mergeCell ref="E2:E3"/>
    <mergeCell ref="L2:L3"/>
    <mergeCell ref="M2:M3"/>
    <mergeCell ref="AA2:AA3"/>
    <mergeCell ref="AB2:AB3"/>
    <mergeCell ref="AC2:AC3"/>
    <mergeCell ref="AD2:AD3"/>
    <mergeCell ref="F2:F3"/>
    <mergeCell ref="G2:G3"/>
    <mergeCell ref="H2:H3"/>
    <mergeCell ref="I2:I3"/>
    <mergeCell ref="J2:J3"/>
    <mergeCell ref="K2:K3"/>
    <mergeCell ref="AK2:AK3"/>
    <mergeCell ref="AL2:AL3"/>
  </mergeCells>
  <dataValidations count="1">
    <dataValidation type="list" allowBlank="1" showInputMessage="1" showErrorMessage="1" sqref="C16 F16 C39 F39" xr:uid="{C13F4F47-F1C4-4BF8-B2B1-76762971AC0F}">
      <formula1>IF($C16&gt;0,TIME,C16)</formula1>
    </dataValidation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 Gas Tech</vt:lpstr>
      <vt:lpstr>'CH Gas Tech'!Print_Area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Rands</dc:creator>
  <cp:lastModifiedBy>Stephan Rands</cp:lastModifiedBy>
  <dcterms:created xsi:type="dcterms:W3CDTF">2025-09-16T18:02:42Z</dcterms:created>
  <dcterms:modified xsi:type="dcterms:W3CDTF">2025-09-16T18:10:42Z</dcterms:modified>
</cp:coreProperties>
</file>