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temp\blog\"/>
    </mc:Choice>
  </mc:AlternateContent>
  <xr:revisionPtr revIDLastSave="0" documentId="13_ncr:1_{99650115-9B72-42B9-BD83-F3D870D160AA}" xr6:coauthVersionLast="47" xr6:coauthVersionMax="47" xr10:uidLastSave="{00000000-0000-0000-0000-000000000000}"/>
  <bookViews>
    <workbookView xWindow="28680" yWindow="-120" windowWidth="29040" windowHeight="18240" xr2:uid="{FBEE0547-C1DD-4B7A-A3EB-2BA1446463BC}"/>
  </bookViews>
  <sheets>
    <sheet name="Copyright" sheetId="5" r:id="rId1"/>
    <sheet name="Function List" sheetId="2" r:id="rId2"/>
    <sheet name="Standard Aggregations" sheetId="9" r:id="rId3"/>
    <sheet name="Conditional Aggregations" sheetId="10" r:id="rId4"/>
    <sheet name="Logic" sheetId="11" r:id="rId5"/>
    <sheet name="Lookup" sheetId="12" r:id="rId6"/>
    <sheet name="Financial" sheetId="13" r:id="rId7"/>
    <sheet name="Dates" sheetId="14" r:id="rId8"/>
    <sheet name="More Resources" sheetId="1" r:id="rId9"/>
    <sheet name="Data" sheetId="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0" l="1"/>
  <c r="G12" i="10"/>
  <c r="G13" i="10"/>
  <c r="G14" i="10"/>
  <c r="G15" i="10"/>
  <c r="G10" i="10"/>
  <c r="G10" i="9"/>
  <c r="D10" i="13" l="1"/>
  <c r="D34" i="13"/>
  <c r="D62" i="13"/>
  <c r="D42" i="13"/>
  <c r="D48" i="13" s="1"/>
  <c r="D29" i="13"/>
  <c r="D28" i="13"/>
  <c r="D9" i="13"/>
  <c r="D15" i="13"/>
  <c r="G14" i="9"/>
  <c r="G13" i="9"/>
  <c r="G12" i="9"/>
  <c r="G11" i="9"/>
  <c r="E100" i="14"/>
  <c r="E99" i="14"/>
  <c r="E79" i="14"/>
  <c r="E80" i="14"/>
  <c r="E81" i="14"/>
  <c r="E82" i="14"/>
  <c r="E83" i="14"/>
  <c r="E84" i="14"/>
  <c r="E85" i="14"/>
  <c r="E86" i="14"/>
  <c r="E87" i="14"/>
  <c r="E88" i="14"/>
  <c r="E89" i="14"/>
  <c r="E90" i="14"/>
  <c r="E91" i="14"/>
  <c r="E78" i="14"/>
  <c r="D47" i="14"/>
  <c r="E47" i="14" s="1"/>
  <c r="D46" i="14"/>
  <c r="E46" i="14" s="1"/>
  <c r="D45" i="14"/>
  <c r="E45" i="14" s="1"/>
  <c r="D44" i="14"/>
  <c r="E44" i="14" s="1"/>
  <c r="D43" i="14"/>
  <c r="E43" i="14" s="1"/>
  <c r="D42" i="14"/>
  <c r="E42" i="14" s="1"/>
  <c r="D41" i="14"/>
  <c r="E41" i="14" s="1"/>
  <c r="D19" i="14"/>
  <c r="D18" i="14"/>
  <c r="D17" i="14"/>
  <c r="D16" i="14"/>
  <c r="D15" i="14"/>
  <c r="D14" i="14"/>
  <c r="D13" i="14"/>
  <c r="G34" i="12"/>
  <c r="G32" i="12"/>
  <c r="G36" i="12"/>
  <c r="F36" i="12"/>
  <c r="H13" i="9"/>
  <c r="H14" i="9"/>
  <c r="H12" i="9"/>
  <c r="H36" i="12"/>
  <c r="F34" i="13"/>
  <c r="H11" i="9"/>
  <c r="H10" i="9"/>
  <c r="H32" i="12"/>
  <c r="F62" i="13"/>
  <c r="F15" i="13"/>
  <c r="F48" i="13"/>
  <c r="H34" i="12"/>
  <c r="H11" i="12" l="1"/>
  <c r="L10" i="12" a="1"/>
  <c r="L10" i="12" s="1"/>
  <c r="H10" i="12"/>
  <c r="G21" i="10"/>
  <c r="G23" i="10"/>
  <c r="E16" i="10"/>
  <c r="G22" i="10"/>
  <c r="G20" i="10"/>
  <c r="E55" i="11"/>
  <c r="E56" i="11"/>
  <c r="E57" i="11"/>
  <c r="E58" i="11"/>
  <c r="E59" i="11"/>
  <c r="F59" i="11" s="1"/>
  <c r="E60" i="11"/>
  <c r="E61" i="11"/>
  <c r="E62" i="11"/>
  <c r="E63" i="11"/>
  <c r="E64" i="11"/>
  <c r="E54" i="11"/>
  <c r="F54" i="11" s="1"/>
  <c r="E74" i="11"/>
  <c r="E75" i="11"/>
  <c r="E76" i="11"/>
  <c r="E77" i="11"/>
  <c r="E78" i="11"/>
  <c r="E79" i="11"/>
  <c r="F79" i="11" s="1"/>
  <c r="E80" i="11"/>
  <c r="E81" i="11"/>
  <c r="E82" i="11"/>
  <c r="E83" i="11"/>
  <c r="E73" i="11"/>
  <c r="F83" i="11"/>
  <c r="F82" i="11"/>
  <c r="F81" i="11"/>
  <c r="F80" i="11"/>
  <c r="F78" i="11"/>
  <c r="F77" i="11"/>
  <c r="F76" i="11"/>
  <c r="F75" i="11"/>
  <c r="F73" i="11"/>
  <c r="F64" i="11"/>
  <c r="F63" i="11"/>
  <c r="F62" i="11"/>
  <c r="F61" i="11"/>
  <c r="F60" i="11"/>
  <c r="F58" i="11"/>
  <c r="F57" i="11"/>
  <c r="F56" i="11"/>
  <c r="F55" i="11"/>
  <c r="D45" i="11" a="1"/>
  <c r="D45" i="11" s="1"/>
  <c r="D44" i="11" a="1"/>
  <c r="D44" i="11" s="1"/>
  <c r="D43" i="11" a="1"/>
  <c r="D43" i="11" s="1"/>
  <c r="D42" i="11" a="1"/>
  <c r="D42" i="11" s="1"/>
  <c r="D41" i="11" a="1"/>
  <c r="D41" i="11" s="1"/>
  <c r="D29" i="11"/>
  <c r="D28" i="11"/>
  <c r="D27" i="11"/>
  <c r="D26" i="11"/>
  <c r="D25" i="11"/>
  <c r="D15" i="11"/>
  <c r="D14" i="11"/>
  <c r="D13" i="11"/>
  <c r="D12" i="11"/>
  <c r="D11" i="11"/>
  <c r="F11" i="11"/>
  <c r="F41" i="11"/>
  <c r="I10" i="12"/>
  <c r="F25" i="11"/>
  <c r="I11" i="12"/>
  <c r="G16" i="10" l="1"/>
  <c r="G24" i="10"/>
  <c r="F74"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<sst xmlns="http://schemas.openxmlformats.org/spreadsheetml/2006/main" count="606" uniqueCount="291">
  <si>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</si>
  <si>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</si>
  <si>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</si>
  <si>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</si>
  <si>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</si>
  <si>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</si>
  <si>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</si>
  <si>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</si>
  <si>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</si>
  <si>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</si>
  <si>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</si>
  <si>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</si>
  <si>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</si>
  <si>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</si>
  <si>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</si>
  <si>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</si>
  <si>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</si>
  <si>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</si>
  <si>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</si>
  <si>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</si>
  <si>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</si>
  <si>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</si>
  <si>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</si>
  <si>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</si>
  <si>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</si>
  <si>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</si>
  <si>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</si>
  <si>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</si>
  <si>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</si>
  <si>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</si>
  <si>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</si>
  <si>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</si>
  <si>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</si>
  <si>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</si>
  <si>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</si>
  <si>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</si>
  <si>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</si>
  <si>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</si>
  <si>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</si>
  <si>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</si>
  <si>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</si>
  <si>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</si>
  <si>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</si>
  <si>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</si>
  <si>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</si>
  <si>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</si>
  <si>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</si>
  <si>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</si>
  <si>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</si>
  <si>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</si>
  <si>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</si>
  <si>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</si>
  <si>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</si>
  <si>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Year</t>
  </si>
  <si>
    <t>Category</t>
  </si>
  <si>
    <t>Product</t>
  </si>
  <si>
    <t>Sales</t>
  </si>
  <si>
    <t>Components</t>
  </si>
  <si>
    <t>Chains</t>
  </si>
  <si>
    <t>Clothing</t>
  </si>
  <si>
    <t>Socks</t>
  </si>
  <si>
    <t>Bib-Shorts</t>
  </si>
  <si>
    <t>Shorts</t>
  </si>
  <si>
    <t>Tights</t>
  </si>
  <si>
    <t>Handlebars</t>
  </si>
  <si>
    <t>Brakes</t>
  </si>
  <si>
    <t>Bikes</t>
  </si>
  <si>
    <t>Mountain Bikes</t>
  </si>
  <si>
    <t>Accessories</t>
  </si>
  <si>
    <t>Helmets</t>
  </si>
  <si>
    <t>Lights</t>
  </si>
  <si>
    <t>Locks</t>
  </si>
  <si>
    <t>Bottom Brackets</t>
  </si>
  <si>
    <t>Jerseys</t>
  </si>
  <si>
    <t>Road Bikes</t>
  </si>
  <si>
    <t>Tires and Tubes</t>
  </si>
  <si>
    <t>Cargo Bike</t>
  </si>
  <si>
    <t>Bike Racks</t>
  </si>
  <si>
    <t>Caps</t>
  </si>
  <si>
    <t>Pumps</t>
  </si>
  <si>
    <t>Wheels</t>
  </si>
  <si>
    <t>Touring Bikes</t>
  </si>
  <si>
    <t>Vests</t>
  </si>
  <si>
    <t>Pedals</t>
  </si>
  <si>
    <t>Gloves</t>
  </si>
  <si>
    <t>Saddles</t>
  </si>
  <si>
    <t>Excel Functions for Financial Modelers</t>
  </si>
  <si>
    <t>Standard Aggregations</t>
  </si>
  <si>
    <t>SUM</t>
  </si>
  <si>
    <t>COUNT</t>
  </si>
  <si>
    <t>AVERAGE</t>
  </si>
  <si>
    <t>MIN</t>
  </si>
  <si>
    <t>MAX</t>
  </si>
  <si>
    <t>Conditional Aggregations</t>
  </si>
  <si>
    <t>SUMIFS</t>
  </si>
  <si>
    <t>COUNTIFS</t>
  </si>
  <si>
    <t>AVERAGEIFS</t>
  </si>
  <si>
    <t>MINIFS</t>
  </si>
  <si>
    <t>MAXIFS</t>
  </si>
  <si>
    <t>IF</t>
  </si>
  <si>
    <t>IFS</t>
  </si>
  <si>
    <t>XLOOKUP</t>
  </si>
  <si>
    <t>INDEX &amp; MATCH</t>
  </si>
  <si>
    <t>PV</t>
  </si>
  <si>
    <t>NPV</t>
  </si>
  <si>
    <t>IRR</t>
  </si>
  <si>
    <t>PMT</t>
  </si>
  <si>
    <t>EOMONTH</t>
  </si>
  <si>
    <t>EDATE</t>
  </si>
  <si>
    <t>NETWORKDAYS.INTL</t>
  </si>
  <si>
    <t>IF Formulas</t>
  </si>
  <si>
    <t>Syntax:</t>
  </si>
  <si>
    <t>=IF(logical_test, value_if_true, value_if_false)</t>
  </si>
  <si>
    <t>Loan items &gt;= 90 days old are due to be returned.</t>
  </si>
  <si>
    <t>Item</t>
  </si>
  <si>
    <t>Loan Date</t>
  </si>
  <si>
    <t>Status</t>
  </si>
  <si>
    <t>IF Formula</t>
  </si>
  <si>
    <t>DA485</t>
  </si>
  <si>
    <t>BP717</t>
  </si>
  <si>
    <t>AR329</t>
  </si>
  <si>
    <t>SE951</t>
  </si>
  <si>
    <t>DA523</t>
  </si>
  <si>
    <t>Nested IF Formulas</t>
  </si>
  <si>
    <t>=IF(logical_test, value_if_true,IF(logical_test, value_if_true, value_if_false))</t>
  </si>
  <si>
    <t>Loan items &gt; 90 days old are overdue, items = 90 days old are due and items &lt; 90 days old are not due.</t>
  </si>
  <si>
    <t>Nested IF Formula</t>
  </si>
  <si>
    <t>IFS Formulas (new in Excel 2019)</t>
  </si>
  <si>
    <t>=IFS(logical_test,value_if_true,logical_test2,value_if_true2...)</t>
  </si>
  <si>
    <t>Available in Excel 2019 onward or with a Microsoft 365 license.</t>
  </si>
  <si>
    <t>IFS Formula</t>
  </si>
  <si>
    <t>=IF(AND(logical_test1,logical_test2…), value_if_true, value_if_false)</t>
  </si>
  <si>
    <t>Name</t>
  </si>
  <si>
    <t>Popular</t>
  </si>
  <si>
    <t>Salary $k</t>
  </si>
  <si>
    <t>Bonus $k</t>
  </si>
  <si>
    <t>Gross $k</t>
  </si>
  <si>
    <t>Bonus</t>
  </si>
  <si>
    <t>Spider Man</t>
  </si>
  <si>
    <t>No</t>
  </si>
  <si>
    <t>Ben Ten</t>
  </si>
  <si>
    <t>Yes</t>
  </si>
  <si>
    <t>Bob Builder</t>
  </si>
  <si>
    <t>Iggle Piggle</t>
  </si>
  <si>
    <t>Bat Man</t>
  </si>
  <si>
    <t>Bumble Bee</t>
  </si>
  <si>
    <t>Makka Pakka</t>
  </si>
  <si>
    <t>Mr Maker</t>
  </si>
  <si>
    <t>Elmo</t>
  </si>
  <si>
    <t>Cookie Monster</t>
  </si>
  <si>
    <t>Jeff Wiggle</t>
  </si>
  <si>
    <t>Total</t>
  </si>
  <si>
    <t>IF OR Formula</t>
  </si>
  <si>
    <t>=IF(OR(logical_test1,logical_test2…), value_if_true, value_if_false)</t>
  </si>
  <si>
    <t>IF AND Formula</t>
  </si>
  <si>
    <t>=SUMIFS(sum_range,criteria_range,criteria,...)</t>
  </si>
  <si>
    <t>=COUNTIFS(sum_range,criteria_range,criteria,...)</t>
  </si>
  <si>
    <t>Date</t>
  </si>
  <si>
    <t>Region</t>
  </si>
  <si>
    <t>Builder</t>
  </si>
  <si>
    <t>Units</t>
  </si>
  <si>
    <t>$k / Unit</t>
  </si>
  <si>
    <t>Total $k</t>
  </si>
  <si>
    <t>=AVERAGEIFS(sum_range,criteria_range,criteria,...)</t>
  </si>
  <si>
    <t>Central</t>
  </si>
  <si>
    <t>Doug</t>
  </si>
  <si>
    <t>=MAXIFS(sum_range,criteria_range,criteria,...)</t>
  </si>
  <si>
    <t>East</t>
  </si>
  <si>
    <t>Dave</t>
  </si>
  <si>
    <t>=MINIFS(sum_range,criteria_range,criteria,...)</t>
  </si>
  <si>
    <t>North</t>
  </si>
  <si>
    <t>South</t>
  </si>
  <si>
    <t>Brian</t>
  </si>
  <si>
    <t>West</t>
  </si>
  <si>
    <t>Larry</t>
  </si>
  <si>
    <t xml:space="preserve">Region: </t>
  </si>
  <si>
    <t>New in Excel 2021</t>
  </si>
  <si>
    <t>Average Rating</t>
  </si>
  <si>
    <t>Products DV List</t>
  </si>
  <si>
    <t xml:space="preserve">Use MATCH to find the row number in the table range B13:B21 for: </t>
  </si>
  <si>
    <t xml:space="preserve">Use MATCH to find the column number for the region: </t>
  </si>
  <si>
    <t>Program Views</t>
  </si>
  <si>
    <t>Batman</t>
  </si>
  <si>
    <t>Bob The Builder</t>
  </si>
  <si>
    <t>Night Garden</t>
  </si>
  <si>
    <t>Wiggles</t>
  </si>
  <si>
    <t>INDEX &amp; MATCH Formulas</t>
  </si>
  <si>
    <t>EOMONTH Function</t>
  </si>
  <si>
    <t>=EOMONTH(start_date, months)</t>
  </si>
  <si>
    <t>months</t>
  </si>
  <si>
    <t>The number of months before or after start_date. A positive value for months yields a future date; a negative value yields a past date.</t>
  </si>
  <si>
    <t>Months to +/-</t>
  </si>
  <si>
    <t>EOMONTH Formula Result</t>
  </si>
  <si>
    <t>EDATE Function</t>
  </si>
  <si>
    <t>=EDATE(start_date, months)</t>
  </si>
  <si>
    <t>EDATE Formula Result</t>
  </si>
  <si>
    <t>Days Adjusted By</t>
  </si>
  <si>
    <t>NETWORKDAYS.INTL Function</t>
  </si>
  <si>
    <t>=NETWORKDAYS.INTL(start_date, end_date, [weekend], [holidays])</t>
  </si>
  <si>
    <t>[holidays]</t>
  </si>
  <si>
    <t>This optional argument can be a range of cells containing holiday dates that you want to exclude from the workday count.</t>
  </si>
  <si>
    <t>[weekend]</t>
  </si>
  <si>
    <t>This optional argument allows you to specify which days are included in the weekend. See list below:</t>
  </si>
  <si>
    <t>Start Date</t>
  </si>
  <si>
    <t>End Date</t>
  </si>
  <si>
    <t>Weekend Type</t>
  </si>
  <si>
    <t>NETWORKDAYS
Formula Result</t>
  </si>
  <si>
    <t>Holiday Dates</t>
  </si>
  <si>
    <t>0001111</t>
  </si>
  <si>
    <t>=SUM(number1,number2,...)</t>
  </si>
  <si>
    <t>=COUNT(value1,value2,...)</t>
  </si>
  <si>
    <t>=AVERAGE(number1,number2,...)</t>
  </si>
  <si>
    <t>=MIN(number1,number2,...)</t>
  </si>
  <si>
    <t>=MAX(number1,number2,...)</t>
  </si>
  <si>
    <t>Formula</t>
  </si>
  <si>
    <t>Result</t>
  </si>
  <si>
    <t>Aggregation</t>
  </si>
  <si>
    <t>PV Function</t>
  </si>
  <si>
    <t>XLOOKUP Function</t>
  </si>
  <si>
    <t>=PMT(rate, nper, pv, [fv], [type])</t>
  </si>
  <si>
    <t>rate</t>
  </si>
  <si>
    <t>Interest Rate</t>
  </si>
  <si>
    <t>Per Payment Period</t>
  </si>
  <si>
    <t>nper</t>
  </si>
  <si>
    <t>Number of Payments</t>
  </si>
  <si>
    <t>e.g. for a 20-year loan with monthly repayments there would be 240 payments</t>
  </si>
  <si>
    <t>pv</t>
  </si>
  <si>
    <t>Loan Amount</t>
  </si>
  <si>
    <t>Principal or loan amount</t>
  </si>
  <si>
    <t>[fv]</t>
  </si>
  <si>
    <t>Final Balance (target)</t>
  </si>
  <si>
    <t>1. Optional argument. If omitted, zero is assumed.</t>
  </si>
  <si>
    <t>[type]</t>
  </si>
  <si>
    <t>Payments Due</t>
  </si>
  <si>
    <t>2. Optional argument.  0 = end of period , 1 = beginning of period. If omitted, zero is assumed.</t>
  </si>
  <si>
    <t>Repayment Amount</t>
  </si>
  <si>
    <t>*Note: results returned may differ from your bank, as there may be additional fees and taxes.</t>
  </si>
  <si>
    <t>They may also calculate interest daily, or you may have an offset account etc.</t>
  </si>
  <si>
    <t>PMT Function</t>
  </si>
  <si>
    <t>=PV(rate, nper, pmt, [fv], [type])</t>
  </si>
  <si>
    <t>pmt</t>
  </si>
  <si>
    <t>Payment made each period</t>
  </si>
  <si>
    <t>The payment made each period and cannot change over the life of the annuity.</t>
  </si>
  <si>
    <t>Optional argument.  0 = end of period , 1 = beginning of period. If omitted, zero is assumed.</t>
  </si>
  <si>
    <t>Present Value</t>
  </si>
  <si>
    <t>e.g. for a 5-year investment with monthly payments there would be 60 payments</t>
  </si>
  <si>
    <t>NPV Function</t>
  </si>
  <si>
    <t>=NPV(rate, value1, value2,...)</t>
  </si>
  <si>
    <t>Value1</t>
  </si>
  <si>
    <t>Value2</t>
  </si>
  <si>
    <t>Value3</t>
  </si>
  <si>
    <t>Value4</t>
  </si>
  <si>
    <t>Initial Investment</t>
  </si>
  <si>
    <t>Net Present Value</t>
  </si>
  <si>
    <t>Return from first year</t>
  </si>
  <si>
    <t>Return from second year</t>
  </si>
  <si>
    <t>Return from third year</t>
  </si>
  <si>
    <t>Cash Flow Year 1</t>
  </si>
  <si>
    <t>Cash Flow Year 2</t>
  </si>
  <si>
    <t>Cash Flow Year 3</t>
  </si>
  <si>
    <t>IRR Function</t>
  </si>
  <si>
    <t>Internal Rate of Return</t>
  </si>
  <si>
    <t>Investment</t>
  </si>
  <si>
    <t>Initial cost of investment today</t>
  </si>
  <si>
    <t>The rate of discount over the length of one period.</t>
  </si>
  <si>
    <t>Discount Rate</t>
  </si>
  <si>
    <r>
      <rPr>
        <b/>
        <i/>
        <sz val="11"/>
        <color theme="1"/>
        <rFont val="Segoe UI"/>
        <family val="2"/>
      </rPr>
      <t>Values</t>
    </r>
    <r>
      <rPr>
        <sz val="11"/>
        <color theme="1"/>
        <rFont val="Segoe UI"/>
        <family val="2"/>
      </rPr>
      <t xml:space="preserve"> is an array or a reference to cells that contain numbers for which you want to calculate the internal rate of return.</t>
    </r>
  </si>
  <si>
    <t>Must contain at least one positive and one negative value.</t>
  </si>
  <si>
    <t>=IRR(values, [guess])</t>
  </si>
  <si>
    <t>Initial investment</t>
  </si>
  <si>
    <t>Net income year 1</t>
  </si>
  <si>
    <t>Net income year 2</t>
  </si>
  <si>
    <t>Net income year 3</t>
  </si>
  <si>
    <t>Guess</t>
  </si>
  <si>
    <t>Estimated IRR</t>
  </si>
  <si>
    <r>
      <rPr>
        <b/>
        <i/>
        <sz val="11"/>
        <color theme="1"/>
        <rFont val="Segoe UI"/>
        <family val="2"/>
      </rPr>
      <t>Guess</t>
    </r>
    <r>
      <rPr>
        <sz val="11"/>
        <color theme="1"/>
        <rFont val="Segoe UI"/>
        <family val="2"/>
      </rPr>
      <t xml:space="preserve">   Optional.  A number that you guess is close to the result of IRR. If omitted, it's assumed to be 10%.</t>
    </r>
  </si>
  <si>
    <t xml:space="preserve">IRR uses the order of values to interpret the order of cash flows. </t>
  </si>
  <si>
    <t>Be sure to enter your payment and income values in the sequence you want.</t>
  </si>
  <si>
    <t>Logical Functions</t>
  </si>
  <si>
    <t>Lookup Functions</t>
  </si>
  <si>
    <t>Financial Functions</t>
  </si>
  <si>
    <t>Date Functions</t>
  </si>
  <si>
    <t>=XLOOKUP(lookup_value, lookup_array, return_array, [if_not_found], [match_mode], [search_mode])</t>
  </si>
  <si>
    <t>=INDEX(array, row_num, [column_num])</t>
  </si>
  <si>
    <t>=MATCH(lookup_value, lookup_array, [match_type])</t>
  </si>
  <si>
    <t>Locical Functions</t>
  </si>
  <si>
    <t>Nested IF</t>
  </si>
  <si>
    <t>IF(AND(...</t>
  </si>
  <si>
    <t>IF(OR(…</t>
  </si>
  <si>
    <t>Future Value (Balance)</t>
  </si>
  <si>
    <t>Optional argument. The future value, or a cash balance you want to attain after the last payment is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</si>
</sst>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3" formatCode="_-* #,##0.00_-;\-* #,##0.00_-;_-* &quot;-&quot;??_-;_-@_-"/>
    <numFmt numFmtId="164" formatCode="@*."/>
    <numFmt numFmtId="165" formatCode="_-* #,##0_-;\-* #,##0_-;_-* &quot;-&quot;??_-;_-@_-"/>
    <numFmt numFmtId="166" formatCode="0.0%"/>
    <numFmt numFmtId="167" formatCode="_-* #,##0.0_-;\-* #,##0.0_-;_-* &quot;-&quot;??_-;_-@_-"/>
    <numFmt numFmtId="168" formatCode="[$-409]d\-mmm\-yy;@"/>
    <numFmt numFmtId="169" formatCode="&quot;$&quot;#,##0"/>
    <numFmt numFmtId="170" formatCode="&quot;$&quot;#,##0.00"/>
  </numFmts>
  <fonts count="29"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
      <b/>
      <sz val="11"/>
      <color theme="0"/>
      <name val="Calibri"/>
      <family val="2"/>
      <scheme val="minor"/>
    </font>
    <font>
      <sz val="14"/>
      <color theme="0"/>
      <name val="Calibri"/>
      <family val="2"/>
      <scheme val="minor"/>
    </font>
    <font>
      <sz val="10"/>
      <color theme="1"/>
      <name val="Courier New"/>
      <family val="3"/>
    </font>
    <font>
      <i/>
      <sz val="11"/>
      <color theme="1"/>
      <name val="Segoe UI"/>
      <family val="2"/>
    </font>
    <font>
      <b/>
      <sz val="11"/>
      <color theme="0"/>
      <name val="Segoe UI"/>
      <family val="2"/>
    </font>
    <font>
      <sz val="10"/>
      <name val="Arial"/>
      <family val="2"/>
    </font>
    <font>
      <sz val="11"/>
      <name val="Arial"/>
      <family val="2"/>
    </font>
    <font>
      <sz val="12"/>
      <name val="Calibri"/>
      <family val="2"/>
      <scheme val="minor"/>
    </font>
    <font>
      <sz val="10"/>
      <color theme="1"/>
      <name val="Arial"/>
      <family val="2"/>
    </font>
    <font>
      <sz val="11"/>
      <name val="Calibri"/>
      <family val="2"/>
    </font>
    <font>
      <sz val="12"/>
      <color theme="0"/>
      <name val="Calibri"/>
      <family val="2"/>
      <scheme val="minor"/>
    </font>
    <font>
      <b/>
      <sz val="10"/>
      <color theme="0"/>
      <name val="Arial"/>
      <family val="2"/>
    </font>
    <font>
      <i/>
      <sz val="9"/>
      <color theme="1"/>
      <name val="Calibri"/>
      <family val="2"/>
      <scheme val="minor"/>
    </font>
    <font>
      <sz val="11"/>
      <color theme="0"/>
      <name val="Segoe UI"/>
      <family val="2"/>
    </font>
    <font>
      <b/>
      <i/>
      <sz val="11"/>
      <color theme="1"/>
      <name val="Calibri"/>
      <family val="2"/>
      <scheme val="minor"/>
    </font>
    <font>
      <sz val="14"/>
      <color theme="0"/>
      <name val="Segoe UI Light"/>
      <family val="2"/>
    </font>
    <font>
      <sz val="14"/>
      <color theme="1"/>
      <name val="Calibri"/>
      <family val="2"/>
      <scheme val="minor"/>
    </font>
    <font>
      <sz val="8"/>
      <name val="Calibri"/>
      <family val="2"/>
      <scheme val="minor"/>
    </font>
    <font>
      <sz val="12"/>
      <color rgb="FF1E1E1E"/>
      <name val="Segoe UI"/>
      <family val="2"/>
    </font>
    <font>
      <b/>
      <i/>
      <sz val="11"/>
      <color theme="1"/>
      <name val="Segoe UI"/>
      <family val="2"/>
    </font>
    <font>
      <b/>
      <u/>
      <sz val="14"/>
      <color theme="10"/>
      <name val="Calibri"/>
      <family val="2"/>
      <scheme val="minor"/>
    </font>
  </fonts>
  <fills count="15">
    <fill>
      <patternFill patternType="none"/>
    </fill>
    <fill>
      <patternFill patternType="gray125"/>
    </fill>
    <fill>
      <patternFill patternType="solid">
        <fgColor rgb="FF0F551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4EA72E"/>
        <bgColor indexed="64"/>
      </patternFill>
    </fill>
    <fill>
      <patternFill patternType="solid">
        <fgColor theme="4" tint="0.59999389629810485"/>
        <bgColor theme="6" tint="0.59999389629810485"/>
      </patternFill>
    </fill>
    <fill>
      <patternFill patternType="solid">
        <fgColor theme="6" tint="-0.249977111117893"/>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7" tint="0.79998168889431442"/>
        <bgColor indexed="64"/>
      </patternFill>
    </fill>
  </fills>
  <borders count="29">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theme="0"/>
      </left>
      <right style="thin">
        <color theme="0"/>
      </right>
      <top/>
      <bottom style="thin">
        <color indexed="64"/>
      </bottom>
      <diagonal/>
    </border>
    <border>
      <left/>
      <right style="thin">
        <color theme="0"/>
      </right>
      <top/>
      <bottom style="thick">
        <color theme="0"/>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style="thin">
        <color theme="0"/>
      </right>
      <top/>
      <bottom style="thin">
        <color theme="0"/>
      </bottom>
      <diagonal/>
    </border>
    <border>
      <left/>
      <right style="thin">
        <color theme="0"/>
      </right>
      <top/>
      <bottom/>
      <diagonal/>
    </border>
    <border>
      <left/>
      <right/>
      <top/>
      <bottom style="thin">
        <color theme="0"/>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right style="thin">
        <color theme="4" tint="0.39991454817346722"/>
      </right>
      <top style="thin">
        <color theme="4" tint="0.39997558519241921"/>
      </top>
      <bottom/>
      <diagonal/>
    </border>
    <border>
      <left/>
      <right style="thin">
        <color theme="4" tint="0.399914548173467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7558519241921"/>
      </left>
      <right/>
      <top style="thin">
        <color theme="4" tint="0.39997558519241921"/>
      </top>
      <bottom style="thin">
        <color theme="4" tint="0.39994506668294322"/>
      </bottom>
      <diagonal/>
    </border>
    <border>
      <left/>
      <right/>
      <top style="thin">
        <color theme="4" tint="0.39997558519241921"/>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cellStyleXfs>
  <cellXfs count="142">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4" fontId="0" fillId="0" borderId="0" xfId="0" applyNumberFormat="1"/>
    <xf numFmtId="0" fontId="1" fillId="5" borderId="0" xfId="0" applyFont="1" applyFill="1" applyAlignment="1">
      <alignment horizontal="right"/>
    </xf>
    <xf numFmtId="0" fontId="10" fillId="5" borderId="0" xfId="0" quotePrefix="1" applyFont="1" applyFill="1" applyAlignment="1">
      <alignment vertical="center"/>
    </xf>
    <xf numFmtId="0" fontId="3" fillId="5" borderId="0" xfId="0" applyFont="1" applyFill="1"/>
    <xf numFmtId="165" fontId="3" fillId="0" borderId="0" xfId="0" applyNumberFormat="1" applyFont="1"/>
    <xf numFmtId="0" fontId="3" fillId="0" borderId="0" xfId="0" applyFont="1" applyAlignment="1">
      <alignment horizontal="left"/>
    </xf>
    <xf numFmtId="0" fontId="3" fillId="0" borderId="3" xfId="0" applyFont="1" applyBorder="1"/>
    <xf numFmtId="0" fontId="0" fillId="0" borderId="3" xfId="0" applyBorder="1"/>
    <xf numFmtId="14" fontId="3" fillId="0" borderId="0" xfId="0" applyNumberFormat="1" applyFont="1"/>
    <xf numFmtId="14" fontId="0" fillId="0" borderId="0" xfId="0" applyNumberFormat="1"/>
    <xf numFmtId="0" fontId="0" fillId="5" borderId="0" xfId="0" applyFill="1"/>
    <xf numFmtId="0" fontId="11" fillId="0" borderId="0" xfId="0" applyFont="1"/>
    <xf numFmtId="0" fontId="1" fillId="5" borderId="0" xfId="0" applyFont="1" applyFill="1" applyAlignment="1">
      <alignment horizontal="right" vertical="center"/>
    </xf>
    <xf numFmtId="0" fontId="14" fillId="0" borderId="0" xfId="4" applyFont="1"/>
    <xf numFmtId="0" fontId="15" fillId="0" borderId="0" xfId="4" applyFont="1" applyAlignment="1">
      <alignment horizontal="center"/>
    </xf>
    <xf numFmtId="166" fontId="14" fillId="0" borderId="0" xfId="5" applyNumberFormat="1" applyFont="1"/>
    <xf numFmtId="0" fontId="13" fillId="0" borderId="0" xfId="4"/>
    <xf numFmtId="0" fontId="13" fillId="0" borderId="0" xfId="4" applyAlignment="1">
      <alignment horizontal="center"/>
    </xf>
    <xf numFmtId="167" fontId="13" fillId="0" borderId="0" xfId="6" applyNumberFormat="1" applyFont="1"/>
    <xf numFmtId="167" fontId="17" fillId="0" borderId="0" xfId="6" applyNumberFormat="1" applyFont="1" applyBorder="1" applyAlignment="1">
      <alignment horizontal="center"/>
    </xf>
    <xf numFmtId="0" fontId="17" fillId="0" borderId="0" xfId="4" applyFont="1"/>
    <xf numFmtId="166" fontId="14" fillId="0" borderId="0" xfId="5" applyNumberFormat="1" applyFont="1" applyBorder="1"/>
    <xf numFmtId="167" fontId="13" fillId="0" borderId="0" xfId="6" applyNumberFormat="1" applyFont="1" applyBorder="1" applyAlignment="1">
      <alignment horizontal="right"/>
    </xf>
    <xf numFmtId="165" fontId="13" fillId="0" borderId="0" xfId="6" applyNumberFormat="1" applyFont="1"/>
    <xf numFmtId="0" fontId="14" fillId="0" borderId="0" xfId="4" applyFont="1" applyAlignment="1">
      <alignment horizontal="center"/>
    </xf>
    <xf numFmtId="0" fontId="0" fillId="9" borderId="0" xfId="0" applyFill="1"/>
    <xf numFmtId="0" fontId="9" fillId="9" borderId="0" xfId="0" applyFont="1" applyFill="1"/>
    <xf numFmtId="0" fontId="3" fillId="9" borderId="0" xfId="0" applyFont="1" applyFill="1"/>
    <xf numFmtId="0" fontId="14" fillId="9" borderId="0" xfId="4" applyFont="1" applyFill="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12" fillId="3" borderId="5" xfId="0" applyFont="1" applyFill="1" applyBorder="1" applyAlignment="1">
      <alignment vertical="center"/>
    </xf>
    <xf numFmtId="9" fontId="16" fillId="10" borderId="3" xfId="5" applyFont="1" applyFill="1" applyBorder="1" applyAlignment="1">
      <alignment horizontal="center" vertical="center"/>
    </xf>
    <xf numFmtId="0" fontId="14" fillId="5" borderId="0" xfId="4" applyFont="1" applyFill="1"/>
    <xf numFmtId="168" fontId="18" fillId="11" borderId="3" xfId="4" applyNumberFormat="1" applyFont="1" applyFill="1" applyBorder="1" applyAlignment="1">
      <alignment horizontal="center" vertical="center"/>
    </xf>
    <xf numFmtId="0" fontId="18" fillId="11" borderId="3" xfId="4" applyFont="1" applyFill="1" applyBorder="1" applyAlignment="1">
      <alignment horizontal="left" vertical="center"/>
    </xf>
    <xf numFmtId="0" fontId="18" fillId="11" borderId="3" xfId="4" applyFont="1" applyFill="1" applyBorder="1" applyAlignment="1">
      <alignment horizontal="center" vertical="center"/>
    </xf>
    <xf numFmtId="168" fontId="13" fillId="0" borderId="0" xfId="4" applyNumberFormat="1" applyAlignment="1">
      <alignment horizontal="center"/>
    </xf>
    <xf numFmtId="0" fontId="13" fillId="0" borderId="4" xfId="4" applyBorder="1"/>
    <xf numFmtId="165" fontId="13" fillId="0" borderId="4" xfId="6" applyNumberFormat="1" applyFont="1" applyBorder="1"/>
    <xf numFmtId="168" fontId="19" fillId="11" borderId="3" xfId="4" applyNumberFormat="1" applyFont="1" applyFill="1" applyBorder="1" applyAlignment="1">
      <alignment horizontal="center" vertical="center"/>
    </xf>
    <xf numFmtId="168" fontId="19" fillId="11" borderId="3" xfId="4" applyNumberFormat="1" applyFont="1" applyFill="1" applyBorder="1" applyAlignment="1">
      <alignment horizontal="right" vertical="center"/>
    </xf>
    <xf numFmtId="168" fontId="19" fillId="11" borderId="3" xfId="4" applyNumberFormat="1" applyFont="1" applyFill="1" applyBorder="1" applyAlignment="1">
      <alignment horizontal="left" vertical="center"/>
    </xf>
    <xf numFmtId="0" fontId="20" fillId="0" borderId="0" xfId="0" applyFont="1"/>
    <xf numFmtId="165" fontId="0" fillId="0" borderId="0" xfId="2" applyNumberFormat="1" applyFont="1"/>
    <xf numFmtId="9" fontId="0" fillId="0" borderId="0" xfId="3" applyFont="1"/>
    <xf numFmtId="0" fontId="8" fillId="12" borderId="7" xfId="0" applyFont="1" applyFill="1" applyBorder="1"/>
    <xf numFmtId="0" fontId="8" fillId="12" borderId="8" xfId="0" applyFont="1" applyFill="1" applyBorder="1"/>
    <xf numFmtId="165" fontId="8" fillId="12" borderId="9" xfId="2" applyNumberFormat="1" applyFont="1" applyFill="1" applyBorder="1" applyAlignment="1">
      <alignment horizontal="right"/>
    </xf>
    <xf numFmtId="9" fontId="8" fillId="12" borderId="9" xfId="3" applyFont="1" applyFill="1" applyBorder="1"/>
    <xf numFmtId="0" fontId="1" fillId="0" borderId="3" xfId="0" applyFont="1" applyBorder="1"/>
    <xf numFmtId="0" fontId="0" fillId="13" borderId="7" xfId="0" applyFill="1" applyBorder="1"/>
    <xf numFmtId="0" fontId="0" fillId="13" borderId="8" xfId="0" applyFill="1" applyBorder="1"/>
    <xf numFmtId="165" fontId="0" fillId="13" borderId="9" xfId="2" applyNumberFormat="1" applyFont="1" applyFill="1" applyBorder="1"/>
    <xf numFmtId="9" fontId="0" fillId="13" borderId="9" xfId="3" applyFont="1" applyFill="1" applyBorder="1"/>
    <xf numFmtId="0" fontId="0" fillId="0" borderId="7" xfId="0" applyBorder="1"/>
    <xf numFmtId="0" fontId="0" fillId="0" borderId="8" xfId="0" applyBorder="1"/>
    <xf numFmtId="165" fontId="0" fillId="0" borderId="9" xfId="2" applyNumberFormat="1" applyFont="1" applyBorder="1"/>
    <xf numFmtId="9" fontId="0" fillId="0" borderId="9" xfId="3" applyFont="1" applyBorder="1"/>
    <xf numFmtId="0" fontId="0" fillId="0" borderId="10" xfId="0" applyBorder="1"/>
    <xf numFmtId="0" fontId="0" fillId="0" borderId="11" xfId="0" applyBorder="1"/>
    <xf numFmtId="165" fontId="0" fillId="0" borderId="12" xfId="2" applyNumberFormat="1" applyFont="1" applyBorder="1"/>
    <xf numFmtId="9" fontId="0" fillId="0" borderId="12" xfId="3" applyFont="1" applyBorder="1"/>
    <xf numFmtId="0" fontId="14" fillId="0" borderId="0" xfId="4" applyFont="1" applyAlignment="1">
      <alignment horizontal="right"/>
    </xf>
    <xf numFmtId="0" fontId="14" fillId="0" borderId="0" xfId="4" applyFont="1" applyAlignment="1">
      <alignment vertical="center"/>
    </xf>
    <xf numFmtId="0" fontId="14" fillId="0" borderId="0" xfId="4" applyFont="1" applyAlignment="1">
      <alignment horizontal="center" vertical="center"/>
    </xf>
    <xf numFmtId="0" fontId="14" fillId="0" borderId="0" xfId="4" quotePrefix="1" applyFont="1" applyAlignment="1">
      <alignment horizontal="center" vertical="center"/>
    </xf>
    <xf numFmtId="0" fontId="19" fillId="6" borderId="6" xfId="4" applyFont="1" applyFill="1" applyBorder="1" applyAlignment="1">
      <alignment horizontal="left" vertical="center" wrapText="1"/>
    </xf>
    <xf numFmtId="0" fontId="19" fillId="6" borderId="6" xfId="4" applyFont="1" applyFill="1" applyBorder="1" applyAlignment="1">
      <alignment horizontal="center" vertical="center"/>
    </xf>
    <xf numFmtId="0" fontId="16" fillId="7" borderId="13" xfId="4" applyFont="1" applyFill="1" applyBorder="1" applyAlignment="1">
      <alignment horizontal="left" vertical="center" wrapText="1"/>
    </xf>
    <xf numFmtId="0" fontId="16" fillId="7" borderId="14" xfId="4" applyFont="1" applyFill="1" applyBorder="1" applyAlignment="1">
      <alignment horizontal="center" vertical="center"/>
    </xf>
    <xf numFmtId="0" fontId="16" fillId="8" borderId="15" xfId="4" applyFont="1" applyFill="1" applyBorder="1" applyAlignment="1">
      <alignment horizontal="left" vertical="center" wrapText="1"/>
    </xf>
    <xf numFmtId="0" fontId="16" fillId="8" borderId="0" xfId="4" applyFont="1" applyFill="1" applyAlignment="1">
      <alignment horizontal="center" vertical="center"/>
    </xf>
    <xf numFmtId="0" fontId="16" fillId="8" borderId="13" xfId="4" applyFont="1" applyFill="1" applyBorder="1" applyAlignment="1">
      <alignment horizontal="left" vertical="center" wrapText="1"/>
    </xf>
    <xf numFmtId="0" fontId="16" fillId="8" borderId="13" xfId="4" applyFont="1" applyFill="1" applyBorder="1" applyAlignment="1">
      <alignment horizontal="center" vertical="center"/>
    </xf>
    <xf numFmtId="0" fontId="16" fillId="7" borderId="14" xfId="4" applyFont="1" applyFill="1" applyBorder="1" applyAlignment="1">
      <alignment horizontal="left" vertical="center" wrapText="1"/>
    </xf>
    <xf numFmtId="0" fontId="21" fillId="9" borderId="0" xfId="0" applyFont="1" applyFill="1"/>
    <xf numFmtId="0" fontId="1" fillId="5" borderId="0" xfId="0" applyFont="1" applyFill="1" applyAlignment="1">
      <alignment horizontal="right" indent="1"/>
    </xf>
    <xf numFmtId="0" fontId="0" fillId="5" borderId="0" xfId="0" quotePrefix="1" applyFill="1"/>
    <xf numFmtId="0" fontId="22" fillId="0" borderId="0" xfId="0" applyFont="1" applyAlignment="1">
      <alignment horizontal="right" vertical="top" indent="1"/>
    </xf>
    <xf numFmtId="0" fontId="0" fillId="0" borderId="0" xfId="0" applyAlignment="1">
      <alignment wrapText="1"/>
    </xf>
    <xf numFmtId="0" fontId="8" fillId="3" borderId="16" xfId="0" applyFont="1" applyFill="1" applyBorder="1" applyAlignment="1">
      <alignment horizontal="center" wrapText="1"/>
    </xf>
    <xf numFmtId="0" fontId="8" fillId="3" borderId="17" xfId="0" applyFont="1" applyFill="1" applyBorder="1" applyAlignment="1">
      <alignment horizontal="center" wrapText="1"/>
    </xf>
    <xf numFmtId="0" fontId="8" fillId="3" borderId="18" xfId="0" applyFont="1" applyFill="1" applyBorder="1" applyAlignment="1">
      <alignment horizontal="center" vertical="center" wrapText="1"/>
    </xf>
    <xf numFmtId="14" fontId="0" fillId="4" borderId="1" xfId="0" quotePrefix="1" applyNumberFormat="1" applyFill="1" applyBorder="1" applyAlignment="1">
      <alignment horizontal="center"/>
    </xf>
    <xf numFmtId="0" fontId="0" fillId="4" borderId="2" xfId="0" quotePrefix="1" applyFill="1" applyBorder="1" applyAlignment="1">
      <alignment horizontal="center"/>
    </xf>
    <xf numFmtId="14" fontId="0" fillId="4" borderId="19" xfId="0" applyNumberFormat="1" applyFill="1" applyBorder="1" applyAlignment="1">
      <alignment horizontal="center"/>
    </xf>
    <xf numFmtId="14" fontId="0" fillId="0" borderId="1" xfId="0" applyNumberFormat="1" applyBorder="1" applyAlignment="1">
      <alignment horizontal="center"/>
    </xf>
    <xf numFmtId="0" fontId="0" fillId="0" borderId="2" xfId="0" applyBorder="1" applyAlignment="1">
      <alignment horizontal="center"/>
    </xf>
    <xf numFmtId="14" fontId="0" fillId="0" borderId="19" xfId="0" applyNumberFormat="1" applyBorder="1" applyAlignment="1">
      <alignment horizontal="center"/>
    </xf>
    <xf numFmtId="0" fontId="8" fillId="3" borderId="20" xfId="0" applyFont="1" applyFill="1" applyBorder="1" applyAlignment="1">
      <alignment horizontal="center" wrapText="1"/>
    </xf>
    <xf numFmtId="14" fontId="0" fillId="4" borderId="2" xfId="0" applyNumberFormat="1" applyFill="1" applyBorder="1" applyAlignment="1">
      <alignment horizontal="center"/>
    </xf>
    <xf numFmtId="0" fontId="0" fillId="4" borderId="21" xfId="0" quotePrefix="1" applyFill="1" applyBorder="1" applyAlignment="1">
      <alignment horizontal="center"/>
    </xf>
    <xf numFmtId="14" fontId="0" fillId="0" borderId="2" xfId="0" applyNumberFormat="1" applyBorder="1" applyAlignment="1">
      <alignment horizontal="center"/>
    </xf>
    <xf numFmtId="0" fontId="0" fillId="0" borderId="21" xfId="0" applyBorder="1" applyAlignment="1">
      <alignment horizontal="center"/>
    </xf>
    <xf numFmtId="0" fontId="23" fillId="9" borderId="0" xfId="0" applyFont="1" applyFill="1" applyAlignment="1">
      <alignment vertical="center"/>
    </xf>
    <xf numFmtId="0" fontId="24" fillId="9" borderId="0" xfId="0" applyFont="1" applyFill="1"/>
    <xf numFmtId="0" fontId="22" fillId="0" borderId="0" xfId="0" applyFont="1" applyAlignment="1">
      <alignment horizontal="right" vertical="top"/>
    </xf>
    <xf numFmtId="0" fontId="8" fillId="3" borderId="22" xfId="0" applyFont="1" applyFill="1" applyBorder="1" applyAlignment="1">
      <alignment horizontal="center" vertical="center" wrapText="1"/>
    </xf>
    <xf numFmtId="14" fontId="0" fillId="4" borderId="23" xfId="0" quotePrefix="1" applyNumberFormat="1" applyFill="1" applyBorder="1" applyAlignment="1">
      <alignment horizontal="center"/>
    </xf>
    <xf numFmtId="14" fontId="0" fillId="4" borderId="24" xfId="0" applyNumberFormat="1" applyFill="1" applyBorder="1" applyAlignment="1">
      <alignment horizontal="center"/>
    </xf>
    <xf numFmtId="0" fontId="0" fillId="4" borderId="2" xfId="0" applyFill="1" applyBorder="1" applyAlignment="1">
      <alignment horizontal="center"/>
    </xf>
    <xf numFmtId="0" fontId="0" fillId="4" borderId="19" xfId="0" applyFill="1" applyBorder="1" applyAlignment="1">
      <alignment horizontal="center"/>
    </xf>
    <xf numFmtId="14" fontId="0" fillId="4" borderId="25" xfId="0" applyNumberFormat="1" applyFill="1" applyBorder="1" applyAlignment="1">
      <alignment horizontal="center"/>
    </xf>
    <xf numFmtId="0" fontId="0" fillId="0" borderId="19" xfId="0" applyBorder="1" applyAlignment="1">
      <alignment horizontal="center"/>
    </xf>
    <xf numFmtId="14" fontId="0" fillId="0" borderId="25" xfId="0" applyNumberFormat="1" applyBorder="1" applyAlignment="1">
      <alignment horizontal="center"/>
    </xf>
    <xf numFmtId="0" fontId="10" fillId="5" borderId="0" xfId="0" quotePrefix="1" applyFont="1" applyFill="1" applyAlignment="1">
      <alignment horizontal="left" vertical="center" indent="1"/>
    </xf>
    <xf numFmtId="165" fontId="8" fillId="12" borderId="9" xfId="2" applyNumberFormat="1" applyFont="1" applyFill="1" applyBorder="1" applyAlignment="1">
      <alignment horizontal="left"/>
    </xf>
    <xf numFmtId="0" fontId="1" fillId="5" borderId="26" xfId="0" quotePrefix="1" applyFont="1" applyFill="1" applyBorder="1" applyAlignment="1">
      <alignment horizontal="left" vertical="center"/>
    </xf>
    <xf numFmtId="8" fontId="0" fillId="5" borderId="26" xfId="0" quotePrefix="1" applyNumberFormat="1" applyFill="1" applyBorder="1" applyAlignment="1">
      <alignment horizontal="left" vertical="center"/>
    </xf>
    <xf numFmtId="0" fontId="0" fillId="5" borderId="26" xfId="0" applyFill="1" applyBorder="1"/>
    <xf numFmtId="0" fontId="0" fillId="0" borderId="0" xfId="0" applyAlignment="1">
      <alignment vertical="center"/>
    </xf>
    <xf numFmtId="10" fontId="0" fillId="0" borderId="26" xfId="3" applyNumberFormat="1" applyFont="1" applyBorder="1" applyAlignment="1">
      <alignment vertical="center"/>
    </xf>
    <xf numFmtId="10" fontId="0" fillId="0" borderId="0" xfId="3" applyNumberFormat="1" applyFont="1" applyBorder="1" applyAlignment="1">
      <alignment vertical="center"/>
    </xf>
    <xf numFmtId="0" fontId="0" fillId="0" borderId="26" xfId="0" applyBorder="1" applyAlignment="1">
      <alignment vertical="center"/>
    </xf>
    <xf numFmtId="169" fontId="0" fillId="0" borderId="26" xfId="0" applyNumberFormat="1" applyBorder="1" applyAlignment="1">
      <alignment vertical="center"/>
    </xf>
    <xf numFmtId="170" fontId="0" fillId="0" borderId="0" xfId="0" applyNumberFormat="1" applyAlignment="1">
      <alignment vertical="center"/>
    </xf>
    <xf numFmtId="8" fontId="0" fillId="0" borderId="26" xfId="0" applyNumberFormat="1" applyBorder="1" applyAlignment="1">
      <alignment vertical="center"/>
    </xf>
    <xf numFmtId="8" fontId="0" fillId="0" borderId="0" xfId="0" applyNumberFormat="1" applyAlignment="1">
      <alignment vertical="center"/>
    </xf>
    <xf numFmtId="0" fontId="0" fillId="14" borderId="26" xfId="0" applyFill="1" applyBorder="1" applyAlignment="1">
      <alignment vertical="center"/>
    </xf>
    <xf numFmtId="0" fontId="0" fillId="14" borderId="26" xfId="0" applyFill="1" applyBorder="1" applyAlignment="1">
      <alignment vertical="center" wrapText="1"/>
    </xf>
    <xf numFmtId="170" fontId="0" fillId="0" borderId="26" xfId="0" applyNumberFormat="1" applyBorder="1" applyAlignment="1">
      <alignment vertical="center"/>
    </xf>
    <xf numFmtId="170" fontId="3" fillId="0" borderId="0" xfId="0" applyNumberFormat="1" applyFont="1"/>
    <xf numFmtId="0" fontId="26" fillId="0" borderId="0" xfId="0" applyFont="1"/>
    <xf numFmtId="0" fontId="0" fillId="5" borderId="28" xfId="0" applyFill="1" applyBorder="1"/>
    <xf numFmtId="8" fontId="0" fillId="5" borderId="27" xfId="0" quotePrefix="1" applyNumberFormat="1" applyFill="1" applyBorder="1" applyAlignment="1">
      <alignment horizontal="left" vertical="center"/>
    </xf>
    <xf numFmtId="9" fontId="0" fillId="0" borderId="26" xfId="0" applyNumberFormat="1" applyBorder="1" applyAlignment="1">
      <alignment vertical="center"/>
    </xf>
    <xf numFmtId="8" fontId="3" fillId="0" borderId="0" xfId="0" applyNumberFormat="1" applyFont="1"/>
    <xf numFmtId="9" fontId="0" fillId="0" borderId="26" xfId="3" applyFont="1" applyBorder="1" applyAlignment="1">
      <alignment vertical="center"/>
    </xf>
    <xf numFmtId="0" fontId="3" fillId="0" borderId="0" xfId="0" applyFont="1" applyAlignment="1">
      <alignment horizontal="left" indent="1"/>
    </xf>
    <xf numFmtId="0" fontId="28" fillId="0" borderId="0" xfId="1" applyFont="1"/>
    <xf numFmtId="0" fontId="0" fillId="0" borderId="0" xfId="0" applyAlignment="1">
      <alignment horizontal="left" vertical="top" wrapText="1"/>
    </xf>
    <xf numFmtId="0" fontId="0" fillId="0" borderId="0" xfId="0" applyAlignment="1">
      <alignment horizontal="left" wrapText="1"/>
    </xf>
  </cellXfs>
  <cellStyles count="7">
    <cellStyle name="Comma" xfId="2" builtinId="3"/>
    <cellStyle name="Comma 2" xfId="6" xr:uid="{2D570E70-EC99-4652-B338-2E89F3D4F785}"/>
    <cellStyle name="Hyperlink" xfId="1" builtinId="8"/>
    <cellStyle name="Normal" xfId="0" builtinId="0"/>
    <cellStyle name="Normal 2" xfId="4" xr:uid="{75973EC7-1325-4D69-80ED-CA57C0778AAD}"/>
    <cellStyle name="Percent" xfId="3" builtinId="5"/>
    <cellStyle name="Percent 2" xfId="5" xr:uid="{AFA267E8-FD2E-4CEE-8AFD-8E3606D41F03}"/>
  </cellStyles>
  <dxfs count="32">
    <dxf>
      <numFmt numFmtId="4" formatCode="#,##0.00"/>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auto="1"/>
        <name val="Calibri"/>
        <family val="2"/>
        <scheme val="none"/>
      </font>
      <numFmt numFmtId="167" formatCode="_-* #,##0.0_-;\-* #,##0.0_-;_-*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_-* #,##0.0_-;\-* #,##0.0_-;_-* &quot;-&quot;??_-;_-@_-"/>
    </dxf>
    <dxf>
      <alignment horizontal="center"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167" formatCode="_-* #,##0.0_-;\-* #,##0.0_-;_-* &quot;-&quot;??_-;_-@_-"/>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167" formatCode="_-* #,##0.0_-;\-* #,##0.0_-;_-*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_-* #,##0.0_-;\-* #,##0.0_-;_-* &quot;-&quot;??_-;_-@_-"/>
    </dxf>
    <dxf>
      <alignment horizontal="center" vertical="bottom" textRotation="0" wrapText="0" relativeIndent="0" justifyLastLine="0" shrinkToFit="0" readingOrder="0"/>
    </dxf>
    <dxf>
      <border outline="0">
        <bottom style="thin">
          <color indexed="64"/>
        </bottom>
      </border>
    </dxf>
    <dxf>
      <font>
        <b val="0"/>
        <i val="0"/>
        <strike val="0"/>
        <condense val="0"/>
        <extend val="0"/>
        <outline val="0"/>
        <shadow val="0"/>
        <u val="none"/>
        <vertAlign val="baseline"/>
        <sz val="11"/>
        <color theme="1"/>
        <name val="Segoe U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numFmt numFmtId="19" formatCode="d/mm/yyyy"/>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numFmt numFmtId="19" formatCode="d/mm/yyyy"/>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0" formatCode="General"/>
    </dxf>
    <dxf>
      <font>
        <b val="0"/>
        <i val="0"/>
        <strike val="0"/>
        <condense val="0"/>
        <extend val="0"/>
        <outline val="0"/>
        <shadow val="0"/>
        <u val="none"/>
        <vertAlign val="baseline"/>
        <sz val="11"/>
        <color theme="1"/>
        <name val="Segoe UI"/>
        <family val="2"/>
        <scheme val="none"/>
      </font>
      <numFmt numFmtId="19" formatCode="d/mm/yyyy"/>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rgb="FF000000"/>
        <name val="Segoe UI"/>
        <family val="2"/>
        <scheme val="none"/>
      </font>
    </dxf>
    <dxf>
      <font>
        <b val="0"/>
        <i val="0"/>
        <strike val="0"/>
        <condense val="0"/>
        <extend val="0"/>
        <outline val="0"/>
        <shadow val="0"/>
        <u val="none"/>
        <vertAlign val="baseline"/>
        <sz val="11"/>
        <color theme="1"/>
        <name val="Segoe UI"/>
        <family val="2"/>
        <scheme val="none"/>
      </font>
    </dxf>
  </dxfs>
  <tableStyles count="0" defaultTableStyle="TableStyleMedium2" defaultPivotStyle="PivotStyleLight16"/>
  <colors>
    <mruColors>
      <color rgb="FF4EA72E"/>
      <color rgb="FF0F55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functions-for-financial-model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XOyWMYQIeI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functions-for-financial-model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XOyWMYQIeIE"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hyperlink" Target="https://www.myonlinetraininghub.com/excel-sumproduct-an-alternative-to-sumifs" TargetMode="External"/><Relationship Id="rId2" Type="http://schemas.openxmlformats.org/officeDocument/2006/relationships/image" Target="../media/image5.png"/><Relationship Id="rId1" Type="http://schemas.openxmlformats.org/officeDocument/2006/relationships/hyperlink" Target="https://www.myonlinetraininghub.com/excel-functions-for-financial-model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XOyWMYQIeIE"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https://www.myonlinetraininghub.com/if-formula-builder" TargetMode="External"/><Relationship Id="rId3" Type="http://schemas.openxmlformats.org/officeDocument/2006/relationships/image" Target="../media/image6.svg"/><Relationship Id="rId7" Type="http://schemas.openxmlformats.org/officeDocument/2006/relationships/hyperlink" Target="http://www.myonlinetraininghub.com/excel-2007-%E2%80%93-and-and-or-functions-explained" TargetMode="External"/><Relationship Id="rId2" Type="http://schemas.openxmlformats.org/officeDocument/2006/relationships/image" Target="../media/image5.png"/><Relationship Id="rId1" Type="http://schemas.openxmlformats.org/officeDocument/2006/relationships/hyperlink" Target="https://www.myonlinetraininghub.com/excel-functions-for-financial-modeling" TargetMode="External"/><Relationship Id="rId6" Type="http://schemas.openxmlformats.org/officeDocument/2006/relationships/image" Target="../media/image2.svg"/><Relationship Id="rId5" Type="http://schemas.openxmlformats.org/officeDocument/2006/relationships/image" Target="../media/image1.png"/><Relationship Id="rId10" Type="http://schemas.openxmlformats.org/officeDocument/2006/relationships/image" Target="../media/image8.svg"/><Relationship Id="rId4" Type="http://schemas.openxmlformats.org/officeDocument/2006/relationships/hyperlink" Target="https://youtu.be/XOyWMYQIeIE" TargetMode="External"/><Relationship Id="rId9" Type="http://schemas.openxmlformats.org/officeDocument/2006/relationships/image" Target="../media/image7.png"/></Relationships>
</file>

<file path=xl/drawings/_rels/drawing6.xml.rels><?xml version="1.0" encoding="UTF-8" standalone="yes"?>
<Relationships xmlns="http://schemas.openxmlformats.org/package/2006/relationships"><Relationship Id="rId8" Type="http://schemas.openxmlformats.org/officeDocument/2006/relationships/hyperlink" Target="https://www.youtube.com/watch?v=4-5-TBhOP6Q" TargetMode="External"/><Relationship Id="rId3" Type="http://schemas.openxmlformats.org/officeDocument/2006/relationships/image" Target="../media/image6.svg"/><Relationship Id="rId7" Type="http://schemas.openxmlformats.org/officeDocument/2006/relationships/hyperlink" Target="https://youtu.be/2ViMm-wuM3U" TargetMode="External"/><Relationship Id="rId2" Type="http://schemas.openxmlformats.org/officeDocument/2006/relationships/image" Target="../media/image5.png"/><Relationship Id="rId1" Type="http://schemas.openxmlformats.org/officeDocument/2006/relationships/hyperlink" Target="https://www.myonlinetraininghub.com/excel-functions-for-financial-model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XOyWMYQIeIE"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functions-for-financial-model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XOyWMYQIeIE"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6.sv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hyperlink" Target="https://www.myonlinetraininghub.com/excel-functions-for-financial-modeling"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XOyWMYQIeIE" TargetMode="External"/><Relationship Id="rId9" Type="http://schemas.openxmlformats.org/officeDocument/2006/relationships/image" Target="../media/image11.svg"/></Relationships>
</file>

<file path=xl/drawings/_rels/drawing9.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4.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6.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3.png"/><Relationship Id="rId5" Type="http://schemas.openxmlformats.org/officeDocument/2006/relationships/image" Target="../media/image3.png"/><Relationship Id="rId15" Type="http://schemas.openxmlformats.org/officeDocument/2006/relationships/image" Target="../media/image15.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12.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0</xdr:row>
      <xdr:rowOff>161925</xdr:rowOff>
    </xdr:from>
    <xdr:to>
      <xdr:col>6</xdr:col>
      <xdr:colOff>676275</xdr:colOff>
      <xdr:row>0</xdr:row>
      <xdr:rowOff>457200</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5962650" y="16192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6</xdr:col>
      <xdr:colOff>819149</xdr:colOff>
      <xdr:row>0</xdr:row>
      <xdr:rowOff>161925</xdr:rowOff>
    </xdr:from>
    <xdr:to>
      <xdr:col>7</xdr:col>
      <xdr:colOff>533399</xdr:colOff>
      <xdr:row>0</xdr:row>
      <xdr:rowOff>457200</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7267574" y="161925"/>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8</xdr:col>
      <xdr:colOff>352272</xdr:colOff>
      <xdr:row>0</xdr:row>
      <xdr:rowOff>57151</xdr:rowOff>
    </xdr:from>
    <xdr:ext cx="3705377" cy="504824"/>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15272" y="57151"/>
          <a:ext cx="3705377" cy="50482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161925</xdr:rowOff>
    </xdr:from>
    <xdr:to>
      <xdr:col>6</xdr:col>
      <xdr:colOff>381000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F2F99C4F-2280-4608-9E63-5B76C63E2497}"/>
            </a:ext>
          </a:extLst>
        </xdr:cNvPr>
        <xdr:cNvGrpSpPr/>
      </xdr:nvGrpSpPr>
      <xdr:grpSpPr>
        <a:xfrm>
          <a:off x="393382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748B1C65-1E65-B1CF-BC6F-DBAFF2EA73FA}"/>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AD773CBE-4C4B-7E14-445E-BCC607CB6E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6</xdr:col>
      <xdr:colOff>781049</xdr:colOff>
      <xdr:row>0</xdr:row>
      <xdr:rowOff>161925</xdr:rowOff>
    </xdr:from>
    <xdr:to>
      <xdr:col>7</xdr:col>
      <xdr:colOff>1362074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0716F845-9276-4494-BF2C-C4EB040B4109}"/>
            </a:ext>
          </a:extLst>
        </xdr:cNvPr>
        <xdr:cNvGrpSpPr/>
      </xdr:nvGrpSpPr>
      <xdr:grpSpPr>
        <a:xfrm>
          <a:off x="538162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CFC0D710-D20F-7783-6905-112AE4986ACF}"/>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B539D69F-3A67-5BA0-B34D-5853DA527095}"/>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575CB639-8A18-E2C8-F83C-B6D66D71A20C}"/>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F796D58C-719F-CE32-3545-ABAF16BDE722}"/>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9</xdr:col>
      <xdr:colOff>123672</xdr:colOff>
      <xdr:row>0</xdr:row>
      <xdr:rowOff>57151</xdr:rowOff>
    </xdr:from>
    <xdr:ext cx="3705377" cy="504824"/>
    <xdr:pic>
      <xdr:nvPicPr>
        <xdr:cNvPr id="10" name="my-online-training-hub-logo-2">
          <a:extLst>
            <a:ext uri="{FF2B5EF4-FFF2-40B4-BE49-F238E27FC236}">
              <a16:creationId xmlns:a16="http://schemas.microsoft.com/office/drawing/2014/main" id="{78A3ED40-6E8C-44B8-B14D-F1261679951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62622" y="57151"/>
          <a:ext cx="3705377" cy="5048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685800</xdr:colOff>
      <xdr:row>0</xdr:row>
      <xdr:rowOff>161925</xdr:rowOff>
    </xdr:from>
    <xdr:to>
      <xdr:col>6</xdr:col>
      <xdr:colOff>723900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1B2B826C-D9DF-45C1-B6AB-3943E7EE3989}"/>
            </a:ext>
          </a:extLst>
        </xdr:cNvPr>
        <xdr:cNvGrpSpPr/>
      </xdr:nvGrpSpPr>
      <xdr:grpSpPr>
        <a:xfrm>
          <a:off x="439102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0ED47C3C-758B-7B6E-DE84-69016CCF2EB2}"/>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8FCB074D-D361-3ABF-99E5-EF30F3A2FA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6</xdr:col>
      <xdr:colOff>990599</xdr:colOff>
      <xdr:row>0</xdr:row>
      <xdr:rowOff>161925</xdr:rowOff>
    </xdr:from>
    <xdr:to>
      <xdr:col>9</xdr:col>
      <xdr:colOff>66674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D99A68C6-9F4F-4B9A-BA4E-B3330A642333}"/>
            </a:ext>
          </a:extLst>
        </xdr:cNvPr>
        <xdr:cNvGrpSpPr/>
      </xdr:nvGrpSpPr>
      <xdr:grpSpPr>
        <a:xfrm>
          <a:off x="58197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8D4EEF6B-5CA6-4C4A-47F8-254BB59E85BE}"/>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59D5F1D2-D9D6-0F0A-9BE3-F0A6D970DBF4}"/>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C28F3950-D19E-B7A4-428C-5B966A645576}"/>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382279CC-3B93-F0F7-39D0-0D594985934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9</xdr:col>
      <xdr:colOff>380847</xdr:colOff>
      <xdr:row>0</xdr:row>
      <xdr:rowOff>57151</xdr:rowOff>
    </xdr:from>
    <xdr:ext cx="3705377" cy="504824"/>
    <xdr:pic>
      <xdr:nvPicPr>
        <xdr:cNvPr id="10" name="my-online-training-hub-logo-2">
          <a:extLst>
            <a:ext uri="{FF2B5EF4-FFF2-40B4-BE49-F238E27FC236}">
              <a16:creationId xmlns:a16="http://schemas.microsoft.com/office/drawing/2014/main" id="{5FC91211-A432-432B-9672-9283E8A814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96022" y="57151"/>
          <a:ext cx="3705377" cy="504824"/>
        </a:xfrm>
        <a:prstGeom prst="rect">
          <a:avLst/>
        </a:prstGeom>
      </xdr:spPr>
    </xdr:pic>
    <xdr:clientData/>
  </xdr:oneCellAnchor>
  <xdr:twoCellAnchor editAs="oneCell">
    <xdr:from>
      <xdr:col>7</xdr:col>
      <xdr:colOff>171450</xdr:colOff>
      <xdr:row>2</xdr:row>
      <xdr:rowOff>28575</xdr:rowOff>
    </xdr:from>
    <xdr:to>
      <xdr:col>9</xdr:col>
      <xdr:colOff>781050</xdr:colOff>
      <xdr:row>3</xdr:row>
      <xdr:rowOff>114300</xdr:rowOff>
    </xdr:to>
    <xdr:grpSp>
      <xdr:nvGrpSpPr>
        <xdr:cNvPr id="11" name="Group 10">
          <a:hlinkClick xmlns:r="http://schemas.openxmlformats.org/officeDocument/2006/relationships" r:id="rId7"/>
          <a:extLst>
            <a:ext uri="{FF2B5EF4-FFF2-40B4-BE49-F238E27FC236}">
              <a16:creationId xmlns:a16="http://schemas.microsoft.com/office/drawing/2014/main" id="{D31C0BB2-4E8C-4D89-BAE7-0927281FDB36}"/>
            </a:ext>
          </a:extLst>
        </xdr:cNvPr>
        <xdr:cNvGrpSpPr/>
      </xdr:nvGrpSpPr>
      <xdr:grpSpPr>
        <a:xfrm>
          <a:off x="6038850" y="857250"/>
          <a:ext cx="1857375" cy="295275"/>
          <a:chOff x="5010149" y="142875"/>
          <a:chExt cx="1857375" cy="295275"/>
        </a:xfrm>
      </xdr:grpSpPr>
      <xdr:sp macro="" textlink="">
        <xdr:nvSpPr>
          <xdr:cNvPr id="12" name="Rectangle: Rounded Corners 11">
            <a:extLst>
              <a:ext uri="{FF2B5EF4-FFF2-40B4-BE49-F238E27FC236}">
                <a16:creationId xmlns:a16="http://schemas.microsoft.com/office/drawing/2014/main" id="{0BF67DCD-B0F3-E5AB-B76D-EFCDAA47E136}"/>
              </a:ext>
            </a:extLst>
          </xdr:cNvPr>
          <xdr:cNvSpPr/>
        </xdr:nvSpPr>
        <xdr:spPr>
          <a:xfrm>
            <a:off x="5010149" y="142875"/>
            <a:ext cx="1857375" cy="2952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SUMPRODUCT tutorial</a:t>
            </a:r>
          </a:p>
        </xdr:txBody>
      </xdr:sp>
      <xdr:pic>
        <xdr:nvPicPr>
          <xdr:cNvPr id="13" name="Graphic 12" descr="Document">
            <a:extLst>
              <a:ext uri="{FF2B5EF4-FFF2-40B4-BE49-F238E27FC236}">
                <a16:creationId xmlns:a16="http://schemas.microsoft.com/office/drawing/2014/main" id="{2E2E9C51-5ADC-C9D5-1950-B283CBD2F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53199" y="171449"/>
            <a:ext cx="238126" cy="238126"/>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19050</xdr:colOff>
      <xdr:row>0</xdr:row>
      <xdr:rowOff>161925</xdr:rowOff>
    </xdr:from>
    <xdr:to>
      <xdr:col>5</xdr:col>
      <xdr:colOff>466725</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E53E95BC-8F13-4E3B-B611-99D0F2C55964}"/>
            </a:ext>
          </a:extLst>
        </xdr:cNvPr>
        <xdr:cNvGrpSpPr/>
      </xdr:nvGrpSpPr>
      <xdr:grpSpPr>
        <a:xfrm>
          <a:off x="283845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EA8FE8CC-DB0D-1438-FE53-8E38807EDBCC}"/>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27DE5779-1A8F-F2A5-2F9D-02CBE889FA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5</xdr:col>
      <xdr:colOff>685799</xdr:colOff>
      <xdr:row>0</xdr:row>
      <xdr:rowOff>161925</xdr:rowOff>
    </xdr:from>
    <xdr:to>
      <xdr:col>7</xdr:col>
      <xdr:colOff>457199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FE4C5BC1-9CC3-4A03-B892-C058A5077CD5}"/>
            </a:ext>
          </a:extLst>
        </xdr:cNvPr>
        <xdr:cNvGrpSpPr/>
      </xdr:nvGrpSpPr>
      <xdr:grpSpPr>
        <a:xfrm>
          <a:off x="42195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EE9A78E2-2A72-3408-43BE-4F5BA7FC07CF}"/>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9011F47E-7885-C7DF-5510-26F68C3FB077}"/>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21E46DCD-DC8E-41F4-C3F7-1B0A86EC00F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DDD3FCBA-96EF-96C8-B757-08A1AC287BC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8</xdr:col>
      <xdr:colOff>314172</xdr:colOff>
      <xdr:row>0</xdr:row>
      <xdr:rowOff>57151</xdr:rowOff>
    </xdr:from>
    <xdr:ext cx="3705377" cy="504824"/>
    <xdr:pic>
      <xdr:nvPicPr>
        <xdr:cNvPr id="10" name="my-online-training-hub-logo-2">
          <a:extLst>
            <a:ext uri="{FF2B5EF4-FFF2-40B4-BE49-F238E27FC236}">
              <a16:creationId xmlns:a16="http://schemas.microsoft.com/office/drawing/2014/main" id="{4A385634-C3EB-4CD7-8317-6DE0594281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105372" y="57151"/>
          <a:ext cx="3705377" cy="504824"/>
        </a:xfrm>
        <a:prstGeom prst="rect">
          <a:avLst/>
        </a:prstGeom>
      </xdr:spPr>
    </xdr:pic>
    <xdr:clientData/>
  </xdr:oneCellAnchor>
  <xdr:twoCellAnchor>
    <xdr:from>
      <xdr:col>7</xdr:col>
      <xdr:colOff>9526</xdr:colOff>
      <xdr:row>53</xdr:row>
      <xdr:rowOff>238125</xdr:rowOff>
    </xdr:from>
    <xdr:to>
      <xdr:col>10</xdr:col>
      <xdr:colOff>466726</xdr:colOff>
      <xdr:row>57</xdr:row>
      <xdr:rowOff>180975</xdr:rowOff>
    </xdr:to>
    <xdr:sp macro="" textlink="">
      <xdr:nvSpPr>
        <xdr:cNvPr id="11" name="Rectangle 10">
          <a:extLst>
            <a:ext uri="{FF2B5EF4-FFF2-40B4-BE49-F238E27FC236}">
              <a16:creationId xmlns:a16="http://schemas.microsoft.com/office/drawing/2014/main" id="{693762E6-2138-42EA-9BF6-86ADE36818EA}"/>
            </a:ext>
          </a:extLst>
        </xdr:cNvPr>
        <xdr:cNvSpPr/>
      </xdr:nvSpPr>
      <xdr:spPr>
        <a:xfrm>
          <a:off x="5076826" y="12401550"/>
          <a:ext cx="2581275" cy="971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AU" sz="1100">
              <a:solidFill>
                <a:sysClr val="windowText" lastClr="000000"/>
              </a:solidFill>
              <a:effectLst/>
              <a:latin typeface="+mn-lt"/>
              <a:ea typeface="+mn-ea"/>
              <a:cs typeface="+mn-cs"/>
            </a:rPr>
            <a:t>A 10% Bonus is calculated...:</a:t>
          </a:r>
          <a:endParaRPr lang="en-AU">
            <a:solidFill>
              <a:sysClr val="windowText" lastClr="000000"/>
            </a:solidFill>
            <a:effectLst/>
          </a:endParaRPr>
        </a:p>
        <a:p>
          <a:endParaRPr lang="en-AU"/>
        </a:p>
        <a:p>
          <a:r>
            <a:rPr lang="en-AU"/>
            <a:t>1)      If the TV personality is 'Popular' AND</a:t>
          </a:r>
        </a:p>
        <a:p>
          <a:r>
            <a:rPr lang="en-AU"/>
            <a:t>2)      If they earn less than $100k</a:t>
          </a:r>
          <a:endParaRPr lang="en-AU" sz="1100"/>
        </a:p>
      </xdr:txBody>
    </xdr:sp>
    <xdr:clientData/>
  </xdr:twoCellAnchor>
  <xdr:twoCellAnchor>
    <xdr:from>
      <xdr:col>7</xdr:col>
      <xdr:colOff>9526</xdr:colOff>
      <xdr:row>72</xdr:row>
      <xdr:rowOff>228601</xdr:rowOff>
    </xdr:from>
    <xdr:to>
      <xdr:col>10</xdr:col>
      <xdr:colOff>438151</xdr:colOff>
      <xdr:row>76</xdr:row>
      <xdr:rowOff>228601</xdr:rowOff>
    </xdr:to>
    <xdr:sp macro="" textlink="">
      <xdr:nvSpPr>
        <xdr:cNvPr id="12" name="Rectangle 11">
          <a:extLst>
            <a:ext uri="{FF2B5EF4-FFF2-40B4-BE49-F238E27FC236}">
              <a16:creationId xmlns:a16="http://schemas.microsoft.com/office/drawing/2014/main" id="{0F1DDCFB-0416-4144-9A36-2E9E1C2E544A}"/>
            </a:ext>
          </a:extLst>
        </xdr:cNvPr>
        <xdr:cNvSpPr/>
      </xdr:nvSpPr>
      <xdr:spPr>
        <a:xfrm>
          <a:off x="5076826" y="16868776"/>
          <a:ext cx="2552700" cy="1028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AU"/>
            <a:t>A 10% Bonus is calculated...:</a:t>
          </a:r>
        </a:p>
        <a:p>
          <a:endParaRPr lang="en-AU"/>
        </a:p>
        <a:p>
          <a:r>
            <a:rPr lang="en-AU"/>
            <a:t>1)      If the TV personality is Popular OR</a:t>
          </a:r>
        </a:p>
        <a:p>
          <a:r>
            <a:rPr lang="en-AU"/>
            <a:t>2)      If they earn less than $100k </a:t>
          </a:r>
        </a:p>
        <a:p>
          <a:pPr algn="l"/>
          <a:endParaRPr lang="en-AU" sz="1100"/>
        </a:p>
      </xdr:txBody>
    </xdr:sp>
    <xdr:clientData/>
  </xdr:twoCellAnchor>
  <xdr:twoCellAnchor editAs="oneCell">
    <xdr:from>
      <xdr:col>9</xdr:col>
      <xdr:colOff>161925</xdr:colOff>
      <xdr:row>49</xdr:row>
      <xdr:rowOff>180975</xdr:rowOff>
    </xdr:from>
    <xdr:to>
      <xdr:col>11</xdr:col>
      <xdr:colOff>38100</xdr:colOff>
      <xdr:row>51</xdr:row>
      <xdr:rowOff>9525</xdr:rowOff>
    </xdr:to>
    <xdr:grpSp>
      <xdr:nvGrpSpPr>
        <xdr:cNvPr id="20" name="Group 19">
          <a:hlinkClick xmlns:r="http://schemas.openxmlformats.org/officeDocument/2006/relationships" r:id="rId7"/>
          <a:extLst>
            <a:ext uri="{FF2B5EF4-FFF2-40B4-BE49-F238E27FC236}">
              <a16:creationId xmlns:a16="http://schemas.microsoft.com/office/drawing/2014/main" id="{FD2EEBFB-4955-4A68-92DA-7C7B4F8D7FF8}"/>
            </a:ext>
          </a:extLst>
        </xdr:cNvPr>
        <xdr:cNvGrpSpPr/>
      </xdr:nvGrpSpPr>
      <xdr:grpSpPr>
        <a:xfrm>
          <a:off x="6743700" y="10972800"/>
          <a:ext cx="1162050" cy="295275"/>
          <a:chOff x="4486275" y="142875"/>
          <a:chExt cx="1162050" cy="295275"/>
        </a:xfrm>
      </xdr:grpSpPr>
      <xdr:sp macro="" textlink="">
        <xdr:nvSpPr>
          <xdr:cNvPr id="21" name="Rectangle: Rounded Corners 20">
            <a:extLst>
              <a:ext uri="{FF2B5EF4-FFF2-40B4-BE49-F238E27FC236}">
                <a16:creationId xmlns:a16="http://schemas.microsoft.com/office/drawing/2014/main" id="{A5E5735D-BD7B-732C-10E0-3BE0907F0FFA}"/>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22" name="Graphic 21" descr="Document">
            <a:extLst>
              <a:ext uri="{FF2B5EF4-FFF2-40B4-BE49-F238E27FC236}">
                <a16:creationId xmlns:a16="http://schemas.microsoft.com/office/drawing/2014/main" id="{EE02C7D6-6F1A-FD57-A65C-7686799806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11</xdr:col>
      <xdr:colOff>276225</xdr:colOff>
      <xdr:row>49</xdr:row>
      <xdr:rowOff>180975</xdr:rowOff>
    </xdr:from>
    <xdr:to>
      <xdr:col>14</xdr:col>
      <xdr:colOff>276225</xdr:colOff>
      <xdr:row>51</xdr:row>
      <xdr:rowOff>9525</xdr:rowOff>
    </xdr:to>
    <xdr:grpSp>
      <xdr:nvGrpSpPr>
        <xdr:cNvPr id="23" name="Group 22">
          <a:hlinkClick xmlns:r="http://schemas.openxmlformats.org/officeDocument/2006/relationships" r:id="rId8"/>
          <a:extLst>
            <a:ext uri="{FF2B5EF4-FFF2-40B4-BE49-F238E27FC236}">
              <a16:creationId xmlns:a16="http://schemas.microsoft.com/office/drawing/2014/main" id="{52D699FC-03EB-4F68-9FE4-003B15B934BB}"/>
            </a:ext>
          </a:extLst>
        </xdr:cNvPr>
        <xdr:cNvGrpSpPr/>
      </xdr:nvGrpSpPr>
      <xdr:grpSpPr>
        <a:xfrm>
          <a:off x="8143875" y="10972800"/>
          <a:ext cx="1857375" cy="295275"/>
          <a:chOff x="3724275" y="171450"/>
          <a:chExt cx="1857375" cy="295275"/>
        </a:xfrm>
      </xdr:grpSpPr>
      <xdr:sp macro="" textlink="">
        <xdr:nvSpPr>
          <xdr:cNvPr id="24" name="Rectangle: Rounded Corners 23">
            <a:extLst>
              <a:ext uri="{FF2B5EF4-FFF2-40B4-BE49-F238E27FC236}">
                <a16:creationId xmlns:a16="http://schemas.microsoft.com/office/drawing/2014/main" id="{F016F466-3109-DBD4-C8D6-1DA6E6AF2993}"/>
              </a:ext>
            </a:extLst>
          </xdr:cNvPr>
          <xdr:cNvSpPr/>
        </xdr:nvSpPr>
        <xdr:spPr>
          <a:xfrm>
            <a:off x="3724275" y="171450"/>
            <a:ext cx="18573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get IF formula builder</a:t>
            </a:r>
          </a:p>
        </xdr:txBody>
      </xdr:sp>
      <xdr:pic>
        <xdr:nvPicPr>
          <xdr:cNvPr id="25" name="Graphic 24" descr="Mining tools with solid fill">
            <a:extLst>
              <a:ext uri="{FF2B5EF4-FFF2-40B4-BE49-F238E27FC236}">
                <a16:creationId xmlns:a16="http://schemas.microsoft.com/office/drawing/2014/main" id="{64B6014C-F26F-5133-AD85-2FF6C7283C0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276851" y="200025"/>
            <a:ext cx="228600" cy="2286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504825</xdr:colOff>
      <xdr:row>0</xdr:row>
      <xdr:rowOff>161925</xdr:rowOff>
    </xdr:from>
    <xdr:to>
      <xdr:col>5</xdr:col>
      <xdr:colOff>628650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C6AE9DAA-82DF-45AC-841A-7764A1BFAA90}"/>
            </a:ext>
          </a:extLst>
        </xdr:cNvPr>
        <xdr:cNvGrpSpPr/>
      </xdr:nvGrpSpPr>
      <xdr:grpSpPr>
        <a:xfrm>
          <a:off x="3619500"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041CD30F-2998-CD4E-88B3-7383136D4E86}"/>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6D322A8E-1049-A232-751A-48868613C3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5</xdr:col>
      <xdr:colOff>771524</xdr:colOff>
      <xdr:row>0</xdr:row>
      <xdr:rowOff>161925</xdr:rowOff>
    </xdr:from>
    <xdr:to>
      <xdr:col>6</xdr:col>
      <xdr:colOff>1009649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130A3C39-88EC-4682-925B-69E57E69ADEA}"/>
            </a:ext>
          </a:extLst>
        </xdr:cNvPr>
        <xdr:cNvGrpSpPr/>
      </xdr:nvGrpSpPr>
      <xdr:grpSpPr>
        <a:xfrm>
          <a:off x="492442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B3E4426F-A0EF-2768-761D-448ACB1F651B}"/>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F619F543-5FFE-9284-46AC-8022693B8A32}"/>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5FF07C07-9016-9AA6-4CB4-E0E0E0500266}"/>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42499D30-D283-3E1E-DC34-32D7DB26425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6</xdr:col>
      <xdr:colOff>1495272</xdr:colOff>
      <xdr:row>0</xdr:row>
      <xdr:rowOff>57151</xdr:rowOff>
    </xdr:from>
    <xdr:ext cx="3705377" cy="504824"/>
    <xdr:pic>
      <xdr:nvPicPr>
        <xdr:cNvPr id="10" name="my-online-training-hub-logo-2">
          <a:extLst>
            <a:ext uri="{FF2B5EF4-FFF2-40B4-BE49-F238E27FC236}">
              <a16:creationId xmlns:a16="http://schemas.microsoft.com/office/drawing/2014/main" id="{D53BB091-8410-485B-B9D2-223431FAAC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67272" y="57151"/>
          <a:ext cx="3705377" cy="504824"/>
        </a:xfrm>
        <a:prstGeom prst="rect">
          <a:avLst/>
        </a:prstGeom>
      </xdr:spPr>
    </xdr:pic>
    <xdr:clientData/>
  </xdr:oneCellAnchor>
  <xdr:twoCellAnchor>
    <xdr:from>
      <xdr:col>8</xdr:col>
      <xdr:colOff>28575</xdr:colOff>
      <xdr:row>7</xdr:row>
      <xdr:rowOff>104775</xdr:rowOff>
    </xdr:from>
    <xdr:to>
      <xdr:col>10</xdr:col>
      <xdr:colOff>304800</xdr:colOff>
      <xdr:row>8</xdr:row>
      <xdr:rowOff>47625</xdr:rowOff>
    </xdr:to>
    <xdr:sp macro="" textlink="">
      <xdr:nvSpPr>
        <xdr:cNvPr id="11" name="Speech Bubble: Rectangle 10">
          <a:extLst>
            <a:ext uri="{FF2B5EF4-FFF2-40B4-BE49-F238E27FC236}">
              <a16:creationId xmlns:a16="http://schemas.microsoft.com/office/drawing/2014/main" id="{22F6DA4E-56E2-44A8-9714-4B7BA324EF29}"/>
            </a:ext>
          </a:extLst>
        </xdr:cNvPr>
        <xdr:cNvSpPr/>
      </xdr:nvSpPr>
      <xdr:spPr>
        <a:xfrm>
          <a:off x="6915150" y="2447925"/>
          <a:ext cx="1733550" cy="657225"/>
        </a:xfrm>
        <a:prstGeom prst="wedgeRectCallout">
          <a:avLst>
            <a:gd name="adj1" fmla="val 20423"/>
            <a:gd name="adj2" fmla="val 6684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AU" sz="1100"/>
            <a:t>The </a:t>
          </a:r>
          <a:r>
            <a:rPr lang="en-AU" sz="1100" b="1"/>
            <a:t>lookup_array </a:t>
          </a:r>
          <a:r>
            <a:rPr lang="en-AU" sz="1100"/>
            <a:t>and </a:t>
          </a:r>
          <a:r>
            <a:rPr lang="en-AU" sz="1100" b="1"/>
            <a:t>return_array</a:t>
          </a:r>
          <a:r>
            <a:rPr lang="en-AU" sz="1100" b="1" baseline="0"/>
            <a:t> </a:t>
          </a:r>
          <a:r>
            <a:rPr lang="en-AU" sz="1100" baseline="0"/>
            <a:t>must contain the same number of rows.</a:t>
          </a:r>
          <a:endParaRPr lang="en-AU" sz="1100"/>
        </a:p>
      </xdr:txBody>
    </xdr:sp>
    <xdr:clientData/>
  </xdr:twoCellAnchor>
  <xdr:twoCellAnchor editAs="oneCell">
    <xdr:from>
      <xdr:col>1</xdr:col>
      <xdr:colOff>9525</xdr:colOff>
      <xdr:row>6</xdr:row>
      <xdr:rowOff>114300</xdr:rowOff>
    </xdr:from>
    <xdr:to>
      <xdr:col>3</xdr:col>
      <xdr:colOff>76200</xdr:colOff>
      <xdr:row>7</xdr:row>
      <xdr:rowOff>140493</xdr:rowOff>
    </xdr:to>
    <xdr:grpSp>
      <xdr:nvGrpSpPr>
        <xdr:cNvPr id="12" name="Group 11">
          <a:hlinkClick xmlns:r="http://schemas.openxmlformats.org/officeDocument/2006/relationships" r:id="rId7"/>
          <a:extLst>
            <a:ext uri="{FF2B5EF4-FFF2-40B4-BE49-F238E27FC236}">
              <a16:creationId xmlns:a16="http://schemas.microsoft.com/office/drawing/2014/main" id="{927A91ED-6A64-4007-A46A-0BE35D266445}"/>
            </a:ext>
          </a:extLst>
        </xdr:cNvPr>
        <xdr:cNvGrpSpPr/>
      </xdr:nvGrpSpPr>
      <xdr:grpSpPr>
        <a:xfrm>
          <a:off x="238125" y="1828800"/>
          <a:ext cx="2047875" cy="235743"/>
          <a:chOff x="5144815" y="152400"/>
          <a:chExt cx="1617934" cy="295275"/>
        </a:xfrm>
      </xdr:grpSpPr>
      <xdr:sp macro="" textlink="">
        <xdr:nvSpPr>
          <xdr:cNvPr id="13" name="Rectangle: Rounded Corners 12">
            <a:extLst>
              <a:ext uri="{FF2B5EF4-FFF2-40B4-BE49-F238E27FC236}">
                <a16:creationId xmlns:a16="http://schemas.microsoft.com/office/drawing/2014/main" id="{E3B6FCFB-FA73-99CC-B5FA-520A08031DC5}"/>
              </a:ext>
            </a:extLst>
          </xdr:cNvPr>
          <xdr:cNvSpPr/>
        </xdr:nvSpPr>
        <xdr:spPr>
          <a:xfrm>
            <a:off x="5144815" y="152400"/>
            <a:ext cx="1617934" cy="2952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050">
                <a:latin typeface="Segoe UI" panose="020B0502040204020203" pitchFamily="34" charset="0"/>
                <a:cs typeface="Segoe UI" panose="020B0502040204020203" pitchFamily="34" charset="0"/>
              </a:rPr>
              <a:t>watch XLOOKUP tutorial</a:t>
            </a:r>
          </a:p>
        </xdr:txBody>
      </xdr:sp>
      <xdr:grpSp>
        <xdr:nvGrpSpPr>
          <xdr:cNvPr id="14" name="Group 13">
            <a:extLst>
              <a:ext uri="{FF2B5EF4-FFF2-40B4-BE49-F238E27FC236}">
                <a16:creationId xmlns:a16="http://schemas.microsoft.com/office/drawing/2014/main" id="{87E7CBD1-C7EA-7264-265E-1B9F8CB2CABE}"/>
              </a:ext>
            </a:extLst>
          </xdr:cNvPr>
          <xdr:cNvGrpSpPr/>
        </xdr:nvGrpSpPr>
        <xdr:grpSpPr>
          <a:xfrm>
            <a:off x="6472526" y="200025"/>
            <a:ext cx="255978" cy="200025"/>
            <a:chOff x="5751781" y="2943225"/>
            <a:chExt cx="1243322" cy="971550"/>
          </a:xfrm>
        </xdr:grpSpPr>
        <xdr:sp macro="" textlink="">
          <xdr:nvSpPr>
            <xdr:cNvPr id="15" name="Rectangle: Rounded Corners 14">
              <a:extLst>
                <a:ext uri="{FF2B5EF4-FFF2-40B4-BE49-F238E27FC236}">
                  <a16:creationId xmlns:a16="http://schemas.microsoft.com/office/drawing/2014/main" id="{121C944C-2D2A-8345-5F2F-D7FBCC4F56FE}"/>
                </a:ext>
              </a:extLst>
            </xdr:cNvPr>
            <xdr:cNvSpPr/>
          </xdr:nvSpPr>
          <xdr:spPr>
            <a:xfrm>
              <a:off x="5751781" y="2943225"/>
              <a:ext cx="1243322"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050"/>
            </a:p>
          </xdr:txBody>
        </xdr:sp>
        <xdr:sp macro="" textlink="">
          <xdr:nvSpPr>
            <xdr:cNvPr id="16" name="Isosceles Triangle 15">
              <a:extLst>
                <a:ext uri="{FF2B5EF4-FFF2-40B4-BE49-F238E27FC236}">
                  <a16:creationId xmlns:a16="http://schemas.microsoft.com/office/drawing/2014/main" id="{07478777-A70E-3B38-FCC6-EF05DB37F1C4}"/>
                </a:ext>
              </a:extLst>
            </xdr:cNvPr>
            <xdr:cNvSpPr/>
          </xdr:nvSpPr>
          <xdr:spPr>
            <a:xfrm rot="5400000">
              <a:off x="6216817" y="3267000"/>
              <a:ext cx="432002" cy="32400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050"/>
            </a:p>
          </xdr:txBody>
        </xdr:sp>
      </xdr:grpSp>
    </xdr:grpSp>
    <xdr:clientData/>
  </xdr:twoCellAnchor>
  <xdr:twoCellAnchor editAs="oneCell">
    <xdr:from>
      <xdr:col>1</xdr:col>
      <xdr:colOff>9525</xdr:colOff>
      <xdr:row>7</xdr:row>
      <xdr:rowOff>238125</xdr:rowOff>
    </xdr:from>
    <xdr:to>
      <xdr:col>3</xdr:col>
      <xdr:colOff>76200</xdr:colOff>
      <xdr:row>7</xdr:row>
      <xdr:rowOff>473868</xdr:rowOff>
    </xdr:to>
    <xdr:grpSp>
      <xdr:nvGrpSpPr>
        <xdr:cNvPr id="17" name="Group 16">
          <a:hlinkClick xmlns:r="http://schemas.openxmlformats.org/officeDocument/2006/relationships" r:id="rId8"/>
          <a:extLst>
            <a:ext uri="{FF2B5EF4-FFF2-40B4-BE49-F238E27FC236}">
              <a16:creationId xmlns:a16="http://schemas.microsoft.com/office/drawing/2014/main" id="{B8C68E85-1B2C-4CA0-BE07-F5F9DC78B2B4}"/>
            </a:ext>
          </a:extLst>
        </xdr:cNvPr>
        <xdr:cNvGrpSpPr/>
      </xdr:nvGrpSpPr>
      <xdr:grpSpPr>
        <a:xfrm>
          <a:off x="238125" y="2162175"/>
          <a:ext cx="2047875" cy="235743"/>
          <a:chOff x="5144815" y="152400"/>
          <a:chExt cx="1617934" cy="295275"/>
        </a:xfrm>
      </xdr:grpSpPr>
      <xdr:sp macro="" textlink="">
        <xdr:nvSpPr>
          <xdr:cNvPr id="18" name="Rectangle: Rounded Corners 17">
            <a:extLst>
              <a:ext uri="{FF2B5EF4-FFF2-40B4-BE49-F238E27FC236}">
                <a16:creationId xmlns:a16="http://schemas.microsoft.com/office/drawing/2014/main" id="{FD65F265-477D-4A56-D34D-9DF2D8F6F99E}"/>
              </a:ext>
            </a:extLst>
          </xdr:cNvPr>
          <xdr:cNvSpPr/>
        </xdr:nvSpPr>
        <xdr:spPr>
          <a:xfrm>
            <a:off x="5144815" y="152400"/>
            <a:ext cx="1617934" cy="29527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050">
                <a:latin typeface="Segoe UI" panose="020B0502040204020203" pitchFamily="34" charset="0"/>
                <a:cs typeface="Segoe UI" panose="020B0502040204020203" pitchFamily="34" charset="0"/>
              </a:rPr>
              <a:t>watch VLOOKUP tutorial</a:t>
            </a:r>
          </a:p>
        </xdr:txBody>
      </xdr:sp>
      <xdr:grpSp>
        <xdr:nvGrpSpPr>
          <xdr:cNvPr id="19" name="Group 18">
            <a:extLst>
              <a:ext uri="{FF2B5EF4-FFF2-40B4-BE49-F238E27FC236}">
                <a16:creationId xmlns:a16="http://schemas.microsoft.com/office/drawing/2014/main" id="{C75EEC17-7286-BF08-D808-DAE4C380FE15}"/>
              </a:ext>
            </a:extLst>
          </xdr:cNvPr>
          <xdr:cNvGrpSpPr/>
        </xdr:nvGrpSpPr>
        <xdr:grpSpPr>
          <a:xfrm>
            <a:off x="6472526" y="200025"/>
            <a:ext cx="255978" cy="200025"/>
            <a:chOff x="5751781" y="2943225"/>
            <a:chExt cx="1243322" cy="971550"/>
          </a:xfrm>
        </xdr:grpSpPr>
        <xdr:sp macro="" textlink="">
          <xdr:nvSpPr>
            <xdr:cNvPr id="20" name="Rectangle: Rounded Corners 19">
              <a:extLst>
                <a:ext uri="{FF2B5EF4-FFF2-40B4-BE49-F238E27FC236}">
                  <a16:creationId xmlns:a16="http://schemas.microsoft.com/office/drawing/2014/main" id="{1C419B91-4899-284A-0450-142750FBBBCA}"/>
                </a:ext>
              </a:extLst>
            </xdr:cNvPr>
            <xdr:cNvSpPr/>
          </xdr:nvSpPr>
          <xdr:spPr>
            <a:xfrm>
              <a:off x="5751781" y="2943225"/>
              <a:ext cx="1243322"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050"/>
            </a:p>
          </xdr:txBody>
        </xdr:sp>
        <xdr:sp macro="" textlink="">
          <xdr:nvSpPr>
            <xdr:cNvPr id="21" name="Isosceles Triangle 20">
              <a:extLst>
                <a:ext uri="{FF2B5EF4-FFF2-40B4-BE49-F238E27FC236}">
                  <a16:creationId xmlns:a16="http://schemas.microsoft.com/office/drawing/2014/main" id="{6E89102D-D58B-939F-0D69-DD17F24FD800}"/>
                </a:ext>
              </a:extLst>
            </xdr:cNvPr>
            <xdr:cNvSpPr/>
          </xdr:nvSpPr>
          <xdr:spPr>
            <a:xfrm rot="5400000">
              <a:off x="6216817" y="3267000"/>
              <a:ext cx="432002" cy="32400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05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466725</xdr:colOff>
      <xdr:row>0</xdr:row>
      <xdr:rowOff>161925</xdr:rowOff>
    </xdr:from>
    <xdr:to>
      <xdr:col>5</xdr:col>
      <xdr:colOff>381000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843D5C57-C7FE-47D6-9287-27C700137210}"/>
            </a:ext>
          </a:extLst>
        </xdr:cNvPr>
        <xdr:cNvGrpSpPr/>
      </xdr:nvGrpSpPr>
      <xdr:grpSpPr>
        <a:xfrm>
          <a:off x="326707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A4B2F8D5-0744-F883-456B-F4CA9C6AC005}"/>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A060F457-0AB9-6D39-F9A7-A40E0F27B9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5</xdr:col>
      <xdr:colOff>590549</xdr:colOff>
      <xdr:row>0</xdr:row>
      <xdr:rowOff>161925</xdr:rowOff>
    </xdr:from>
    <xdr:to>
      <xdr:col>6</xdr:col>
      <xdr:colOff>828674</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96FE14DC-D2D2-4C8C-9FF7-F55CDB5B946A}"/>
            </a:ext>
          </a:extLst>
        </xdr:cNvPr>
        <xdr:cNvGrpSpPr/>
      </xdr:nvGrpSpPr>
      <xdr:grpSpPr>
        <a:xfrm>
          <a:off x="4638674"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5997CF91-3A71-95DD-0EFB-1D29E639E7FC}"/>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928C8987-9358-FF40-DACD-16455E61E5E8}"/>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6D150DB0-70BB-71C6-A66A-4B096BB2B8A5}"/>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10813620-CE70-A053-55DE-881D7F63806E}"/>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6</xdr:col>
      <xdr:colOff>1314297</xdr:colOff>
      <xdr:row>0</xdr:row>
      <xdr:rowOff>57151</xdr:rowOff>
    </xdr:from>
    <xdr:ext cx="3705377" cy="504824"/>
    <xdr:pic>
      <xdr:nvPicPr>
        <xdr:cNvPr id="10" name="my-online-training-hub-logo-2">
          <a:extLst>
            <a:ext uri="{FF2B5EF4-FFF2-40B4-BE49-F238E27FC236}">
              <a16:creationId xmlns:a16="http://schemas.microsoft.com/office/drawing/2014/main" id="{16B0D9BD-1A1C-491E-AE2A-93B914F6399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886297" y="57151"/>
          <a:ext cx="3705377" cy="504824"/>
        </a:xfrm>
        <a:prstGeom prst="rect">
          <a:avLst/>
        </a:prstGeom>
      </xdr:spPr>
    </xdr:pic>
    <xdr:clientData/>
  </xdr:oneCellAnchor>
  <xdr:twoCellAnchor>
    <xdr:from>
      <xdr:col>1</xdr:col>
      <xdr:colOff>0</xdr:colOff>
      <xdr:row>20</xdr:row>
      <xdr:rowOff>76200</xdr:rowOff>
    </xdr:from>
    <xdr:to>
      <xdr:col>4</xdr:col>
      <xdr:colOff>19050</xdr:colOff>
      <xdr:row>24</xdr:row>
      <xdr:rowOff>142875</xdr:rowOff>
    </xdr:to>
    <xdr:sp macro="" textlink="">
      <xdr:nvSpPr>
        <xdr:cNvPr id="11" name="TextBox 10">
          <a:extLst>
            <a:ext uri="{FF2B5EF4-FFF2-40B4-BE49-F238E27FC236}">
              <a16:creationId xmlns:a16="http://schemas.microsoft.com/office/drawing/2014/main" id="{6C546987-0A7E-1D21-5342-3C3CA2582894}"/>
            </a:ext>
          </a:extLst>
        </xdr:cNvPr>
        <xdr:cNvSpPr txBox="1"/>
      </xdr:nvSpPr>
      <xdr:spPr>
        <a:xfrm>
          <a:off x="228600" y="5181600"/>
          <a:ext cx="349567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i="0">
              <a:solidFill>
                <a:schemeClr val="dk1"/>
              </a:solidFill>
              <a:effectLst/>
              <a:latin typeface="+mn-lt"/>
              <a:ea typeface="+mn-ea"/>
              <a:cs typeface="+mn-cs"/>
            </a:rPr>
            <a:t>PV</a:t>
          </a:r>
          <a:r>
            <a:rPr lang="en-AU" sz="1100" b="0" i="0">
              <a:solidFill>
                <a:schemeClr val="dk1"/>
              </a:solidFill>
              <a:effectLst/>
              <a:latin typeface="+mn-lt"/>
              <a:ea typeface="+mn-ea"/>
              <a:cs typeface="+mn-cs"/>
            </a:rPr>
            <a:t> calculates the present value of a loan or an investment, based on a </a:t>
          </a:r>
          <a:r>
            <a:rPr lang="en-AU" sz="1100" b="1" i="0">
              <a:solidFill>
                <a:schemeClr val="dk1"/>
              </a:solidFill>
              <a:effectLst/>
              <a:latin typeface="+mn-lt"/>
              <a:ea typeface="+mn-ea"/>
              <a:cs typeface="+mn-cs"/>
            </a:rPr>
            <a:t>constant interest rate</a:t>
          </a:r>
          <a:r>
            <a:rPr lang="en-AU" sz="1100" b="0" i="0">
              <a:solidFill>
                <a:schemeClr val="dk1"/>
              </a:solidFill>
              <a:effectLst/>
              <a:latin typeface="+mn-lt"/>
              <a:ea typeface="+mn-ea"/>
              <a:cs typeface="+mn-cs"/>
            </a:rPr>
            <a:t>. You can use PV with either periodic, constant payments (such as a mortgage or other loan), or a future value that's your investment goal.</a:t>
          </a:r>
          <a:endParaRPr lang="en-AU" sz="1100"/>
        </a:p>
      </xdr:txBody>
    </xdr:sp>
    <xdr:clientData/>
  </xdr:twoCellAnchor>
  <xdr:twoCellAnchor>
    <xdr:from>
      <xdr:col>1</xdr:col>
      <xdr:colOff>0</xdr:colOff>
      <xdr:row>3</xdr:row>
      <xdr:rowOff>76200</xdr:rowOff>
    </xdr:from>
    <xdr:to>
      <xdr:col>4</xdr:col>
      <xdr:colOff>0</xdr:colOff>
      <xdr:row>5</xdr:row>
      <xdr:rowOff>209550</xdr:rowOff>
    </xdr:to>
    <xdr:sp macro="" textlink="">
      <xdr:nvSpPr>
        <xdr:cNvPr id="12" name="TextBox 11">
          <a:extLst>
            <a:ext uri="{FF2B5EF4-FFF2-40B4-BE49-F238E27FC236}">
              <a16:creationId xmlns:a16="http://schemas.microsoft.com/office/drawing/2014/main" id="{9D539417-F86F-4765-DAD8-C80F11167920}"/>
            </a:ext>
          </a:extLst>
        </xdr:cNvPr>
        <xdr:cNvSpPr txBox="1"/>
      </xdr:nvSpPr>
      <xdr:spPr>
        <a:xfrm>
          <a:off x="228600" y="2162175"/>
          <a:ext cx="34766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i="0">
              <a:solidFill>
                <a:schemeClr val="dk1"/>
              </a:solidFill>
              <a:effectLst/>
              <a:latin typeface="+mn-lt"/>
              <a:ea typeface="+mn-ea"/>
              <a:cs typeface="+mn-cs"/>
            </a:rPr>
            <a:t>PMT</a:t>
          </a:r>
          <a:r>
            <a:rPr lang="en-AU" sz="1100" b="0" i="0">
              <a:solidFill>
                <a:schemeClr val="dk1"/>
              </a:solidFill>
              <a:effectLst/>
              <a:latin typeface="+mn-lt"/>
              <a:ea typeface="+mn-ea"/>
              <a:cs typeface="+mn-cs"/>
            </a:rPr>
            <a:t> calculates the payment for a loan based on </a:t>
          </a:r>
          <a:r>
            <a:rPr lang="en-AU" sz="1100" b="1" i="0">
              <a:solidFill>
                <a:schemeClr val="dk1"/>
              </a:solidFill>
              <a:effectLst/>
              <a:latin typeface="+mn-lt"/>
              <a:ea typeface="+mn-ea"/>
              <a:cs typeface="+mn-cs"/>
            </a:rPr>
            <a:t>constant payments</a:t>
          </a:r>
          <a:r>
            <a:rPr lang="en-AU" sz="1100" b="0" i="0">
              <a:solidFill>
                <a:schemeClr val="dk1"/>
              </a:solidFill>
              <a:effectLst/>
              <a:latin typeface="+mn-lt"/>
              <a:ea typeface="+mn-ea"/>
              <a:cs typeface="+mn-cs"/>
            </a:rPr>
            <a:t> and a </a:t>
          </a:r>
          <a:r>
            <a:rPr lang="en-AU" sz="1100" b="1" i="0">
              <a:solidFill>
                <a:schemeClr val="dk1"/>
              </a:solidFill>
              <a:effectLst/>
              <a:latin typeface="+mn-lt"/>
              <a:ea typeface="+mn-ea"/>
              <a:cs typeface="+mn-cs"/>
            </a:rPr>
            <a:t>constant interest rate</a:t>
          </a:r>
          <a:r>
            <a:rPr lang="en-AU" sz="1100" b="0" i="0">
              <a:solidFill>
                <a:schemeClr val="dk1"/>
              </a:solidFill>
              <a:effectLst/>
              <a:latin typeface="+mn-lt"/>
              <a:ea typeface="+mn-ea"/>
              <a:cs typeface="+mn-cs"/>
            </a:rPr>
            <a:t>.</a:t>
          </a:r>
          <a:endParaRPr lang="en-AU" sz="1100"/>
        </a:p>
      </xdr:txBody>
    </xdr:sp>
    <xdr:clientData/>
  </xdr:twoCellAnchor>
  <xdr:twoCellAnchor>
    <xdr:from>
      <xdr:col>4</xdr:col>
      <xdr:colOff>180976</xdr:colOff>
      <xdr:row>38</xdr:row>
      <xdr:rowOff>285750</xdr:rowOff>
    </xdr:from>
    <xdr:to>
      <xdr:col>6</xdr:col>
      <xdr:colOff>409576</xdr:colOff>
      <xdr:row>40</xdr:row>
      <xdr:rowOff>57150</xdr:rowOff>
    </xdr:to>
    <xdr:sp macro="" textlink="">
      <xdr:nvSpPr>
        <xdr:cNvPr id="13" name="Speech Bubble: Rectangle 12">
          <a:extLst>
            <a:ext uri="{FF2B5EF4-FFF2-40B4-BE49-F238E27FC236}">
              <a16:creationId xmlns:a16="http://schemas.microsoft.com/office/drawing/2014/main" id="{0D82E062-6748-E291-1913-512551E6082B}"/>
            </a:ext>
          </a:extLst>
        </xdr:cNvPr>
        <xdr:cNvSpPr/>
      </xdr:nvSpPr>
      <xdr:spPr>
        <a:xfrm>
          <a:off x="3886201" y="9991725"/>
          <a:ext cx="1695450" cy="647700"/>
        </a:xfrm>
        <a:prstGeom prst="wedgeRectCallout">
          <a:avLst>
            <a:gd name="adj1" fmla="val -57398"/>
            <a:gd name="adj2" fmla="val 21770"/>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AU" sz="1100" b="1"/>
            <a:t>NPV</a:t>
          </a:r>
          <a:r>
            <a:rPr lang="en-AU" sz="1100"/>
            <a:t> requires</a:t>
          </a:r>
          <a:r>
            <a:rPr lang="en-AU" sz="1100" baseline="0"/>
            <a:t> cash flows to be equally spaced. If not, use XNPV function.</a:t>
          </a:r>
          <a:endParaRPr lang="en-AU" sz="1100"/>
        </a:p>
      </xdr:txBody>
    </xdr:sp>
    <xdr:clientData/>
  </xdr:twoCellAnchor>
  <xdr:twoCellAnchor>
    <xdr:from>
      <xdr:col>1</xdr:col>
      <xdr:colOff>0</xdr:colOff>
      <xdr:row>37</xdr:row>
      <xdr:rowOff>57151</xdr:rowOff>
    </xdr:from>
    <xdr:to>
      <xdr:col>4</xdr:col>
      <xdr:colOff>0</xdr:colOff>
      <xdr:row>38</xdr:row>
      <xdr:rowOff>495301</xdr:rowOff>
    </xdr:to>
    <xdr:sp macro="" textlink="">
      <xdr:nvSpPr>
        <xdr:cNvPr id="14" name="TextBox 13">
          <a:extLst>
            <a:ext uri="{FF2B5EF4-FFF2-40B4-BE49-F238E27FC236}">
              <a16:creationId xmlns:a16="http://schemas.microsoft.com/office/drawing/2014/main" id="{FC7D72CC-E31B-1224-D9C5-4E201CD72BE2}"/>
            </a:ext>
          </a:extLst>
        </xdr:cNvPr>
        <xdr:cNvSpPr txBox="1"/>
      </xdr:nvSpPr>
      <xdr:spPr>
        <a:xfrm>
          <a:off x="228600" y="9553576"/>
          <a:ext cx="34766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i="0">
              <a:solidFill>
                <a:schemeClr val="dk1"/>
              </a:solidFill>
              <a:effectLst/>
              <a:latin typeface="+mn-lt"/>
              <a:ea typeface="+mn-ea"/>
              <a:cs typeface="+mn-cs"/>
            </a:rPr>
            <a:t>NPV</a:t>
          </a:r>
          <a:r>
            <a:rPr lang="en-AU" sz="1100" b="1" i="0" baseline="0">
              <a:solidFill>
                <a:schemeClr val="dk1"/>
              </a:solidFill>
              <a:effectLst/>
              <a:latin typeface="+mn-lt"/>
              <a:ea typeface="+mn-ea"/>
              <a:cs typeface="+mn-cs"/>
            </a:rPr>
            <a:t> </a:t>
          </a:r>
          <a:r>
            <a:rPr lang="en-AU" sz="1100" b="0" i="0" baseline="0">
              <a:solidFill>
                <a:schemeClr val="dk1"/>
              </a:solidFill>
              <a:effectLst/>
              <a:latin typeface="+mn-lt"/>
              <a:ea typeface="+mn-ea"/>
              <a:cs typeface="+mn-cs"/>
            </a:rPr>
            <a:t>c</a:t>
          </a:r>
          <a:r>
            <a:rPr lang="en-AU" sz="1100" b="0" i="0">
              <a:solidFill>
                <a:schemeClr val="dk1"/>
              </a:solidFill>
              <a:effectLst/>
              <a:latin typeface="+mn-lt"/>
              <a:ea typeface="+mn-ea"/>
              <a:cs typeface="+mn-cs"/>
            </a:rPr>
            <a:t>alculates the net present value of an investment by using a discount rate and a series of future payments (negative values) and income (positive values).</a:t>
          </a:r>
          <a:endParaRPr lang="en-AU" sz="1100"/>
        </a:p>
      </xdr:txBody>
    </xdr:sp>
    <xdr:clientData/>
  </xdr:twoCellAnchor>
  <xdr:twoCellAnchor>
    <xdr:from>
      <xdr:col>0</xdr:col>
      <xdr:colOff>219075</xdr:colOff>
      <xdr:row>51</xdr:row>
      <xdr:rowOff>114300</xdr:rowOff>
    </xdr:from>
    <xdr:to>
      <xdr:col>3</xdr:col>
      <xdr:colOff>876300</xdr:colOff>
      <xdr:row>52</xdr:row>
      <xdr:rowOff>390525</xdr:rowOff>
    </xdr:to>
    <xdr:sp macro="" textlink="">
      <xdr:nvSpPr>
        <xdr:cNvPr id="15" name="TextBox 14">
          <a:extLst>
            <a:ext uri="{FF2B5EF4-FFF2-40B4-BE49-F238E27FC236}">
              <a16:creationId xmlns:a16="http://schemas.microsoft.com/office/drawing/2014/main" id="{82AAE5A7-23E7-6B51-D690-90420D83B466}"/>
            </a:ext>
          </a:extLst>
        </xdr:cNvPr>
        <xdr:cNvSpPr txBox="1"/>
      </xdr:nvSpPr>
      <xdr:spPr>
        <a:xfrm>
          <a:off x="219075" y="14439900"/>
          <a:ext cx="34575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b="1" i="0">
              <a:solidFill>
                <a:schemeClr val="dk1"/>
              </a:solidFill>
              <a:effectLst/>
              <a:latin typeface="+mn-lt"/>
              <a:ea typeface="+mn-ea"/>
              <a:cs typeface="+mn-cs"/>
            </a:rPr>
            <a:t>IRR</a:t>
          </a:r>
          <a:r>
            <a:rPr lang="en-AU" sz="1100" b="0" i="0">
              <a:solidFill>
                <a:schemeClr val="dk1"/>
              </a:solidFill>
              <a:effectLst/>
              <a:latin typeface="+mn-lt"/>
              <a:ea typeface="+mn-ea"/>
              <a:cs typeface="+mn-cs"/>
            </a:rPr>
            <a:t> returns the internal rate of return for a series of cash flows at </a:t>
          </a:r>
          <a:r>
            <a:rPr lang="en-AU" sz="1100" b="1" i="0">
              <a:solidFill>
                <a:schemeClr val="dk1"/>
              </a:solidFill>
              <a:effectLst/>
              <a:latin typeface="+mn-lt"/>
              <a:ea typeface="+mn-ea"/>
              <a:cs typeface="+mn-cs"/>
            </a:rPr>
            <a:t>equal intervals</a:t>
          </a:r>
          <a:r>
            <a:rPr lang="en-AU" sz="1100" b="0" i="0">
              <a:solidFill>
                <a:schemeClr val="dk1"/>
              </a:solidFill>
              <a:effectLst/>
              <a:latin typeface="+mn-lt"/>
              <a:ea typeface="+mn-ea"/>
              <a:cs typeface="+mn-cs"/>
            </a:rPr>
            <a:t>.</a:t>
          </a:r>
          <a:endParaRPr lang="en-AU" sz="1100"/>
        </a:p>
      </xdr:txBody>
    </xdr:sp>
    <xdr:clientData/>
  </xdr:twoCellAnchor>
  <xdr:twoCellAnchor>
    <xdr:from>
      <xdr:col>4</xdr:col>
      <xdr:colOff>114300</xdr:colOff>
      <xdr:row>55</xdr:row>
      <xdr:rowOff>133350</xdr:rowOff>
    </xdr:from>
    <xdr:to>
      <xdr:col>4</xdr:col>
      <xdr:colOff>266700</xdr:colOff>
      <xdr:row>58</xdr:row>
      <xdr:rowOff>219075</xdr:rowOff>
    </xdr:to>
    <xdr:sp macro="" textlink="">
      <xdr:nvSpPr>
        <xdr:cNvPr id="16" name="Right Brace 15">
          <a:extLst>
            <a:ext uri="{FF2B5EF4-FFF2-40B4-BE49-F238E27FC236}">
              <a16:creationId xmlns:a16="http://schemas.microsoft.com/office/drawing/2014/main" id="{A27AE640-DD91-7156-45FC-075333589869}"/>
            </a:ext>
          </a:extLst>
        </xdr:cNvPr>
        <xdr:cNvSpPr/>
      </xdr:nvSpPr>
      <xdr:spPr>
        <a:xfrm>
          <a:off x="3819525" y="15897225"/>
          <a:ext cx="152400" cy="9429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6</xdr:col>
      <xdr:colOff>542925</xdr:colOff>
      <xdr:row>43</xdr:row>
      <xdr:rowOff>190500</xdr:rowOff>
    </xdr:from>
    <xdr:to>
      <xdr:col>6</xdr:col>
      <xdr:colOff>723900</xdr:colOff>
      <xdr:row>46</xdr:row>
      <xdr:rowOff>0</xdr:rowOff>
    </xdr:to>
    <xdr:sp macro="" textlink="">
      <xdr:nvSpPr>
        <xdr:cNvPr id="17" name="Right Brace 16">
          <a:extLst>
            <a:ext uri="{FF2B5EF4-FFF2-40B4-BE49-F238E27FC236}">
              <a16:creationId xmlns:a16="http://schemas.microsoft.com/office/drawing/2014/main" id="{537F350D-8BA9-8652-8815-B74A1F3EB9C9}"/>
            </a:ext>
          </a:extLst>
        </xdr:cNvPr>
        <xdr:cNvSpPr/>
      </xdr:nvSpPr>
      <xdr:spPr>
        <a:xfrm>
          <a:off x="5715000" y="11572875"/>
          <a:ext cx="180975"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6</xdr:col>
      <xdr:colOff>828675</xdr:colOff>
      <xdr:row>44</xdr:row>
      <xdr:rowOff>133350</xdr:rowOff>
    </xdr:from>
    <xdr:to>
      <xdr:col>10</xdr:col>
      <xdr:colOff>123825</xdr:colOff>
      <xdr:row>45</xdr:row>
      <xdr:rowOff>104775</xdr:rowOff>
    </xdr:to>
    <xdr:sp macro="" textlink="">
      <xdr:nvSpPr>
        <xdr:cNvPr id="18" name="TextBox 17">
          <a:extLst>
            <a:ext uri="{FF2B5EF4-FFF2-40B4-BE49-F238E27FC236}">
              <a16:creationId xmlns:a16="http://schemas.microsoft.com/office/drawing/2014/main" id="{2FBBC133-8324-9C4F-80C3-13A681091BBE}"/>
            </a:ext>
          </a:extLst>
        </xdr:cNvPr>
        <xdr:cNvSpPr txBox="1"/>
      </xdr:nvSpPr>
      <xdr:spPr>
        <a:xfrm>
          <a:off x="6000750" y="11811000"/>
          <a:ext cx="30670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NPV assumes these</a:t>
          </a:r>
          <a:r>
            <a:rPr lang="en-AU" sz="1100" baseline="0"/>
            <a:t> occur at the end of the period.</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276225</xdr:colOff>
      <xdr:row>0</xdr:row>
      <xdr:rowOff>161925</xdr:rowOff>
    </xdr:from>
    <xdr:to>
      <xdr:col>5</xdr:col>
      <xdr:colOff>400050</xdr:colOff>
      <xdr:row>0</xdr:row>
      <xdr:rowOff>457200</xdr:rowOff>
    </xdr:to>
    <xdr:grpSp>
      <xdr:nvGrpSpPr>
        <xdr:cNvPr id="2" name="Group 1">
          <a:hlinkClick xmlns:r="http://schemas.openxmlformats.org/officeDocument/2006/relationships" r:id="rId1"/>
          <a:extLst>
            <a:ext uri="{FF2B5EF4-FFF2-40B4-BE49-F238E27FC236}">
              <a16:creationId xmlns:a16="http://schemas.microsoft.com/office/drawing/2014/main" id="{3D4E330E-7435-4A18-8E47-C4D98919288B}"/>
            </a:ext>
          </a:extLst>
        </xdr:cNvPr>
        <xdr:cNvGrpSpPr/>
      </xdr:nvGrpSpPr>
      <xdr:grpSpPr>
        <a:xfrm>
          <a:off x="3533775" y="1619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19CD309A-6B2E-A338-C24C-606305C45786}"/>
              </a:ext>
            </a:extLst>
          </xdr:cNvPr>
          <xdr:cNvSpPr/>
        </xdr:nvSpPr>
        <xdr:spPr>
          <a:xfrm>
            <a:off x="4486275" y="142875"/>
            <a:ext cx="1162050"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AFC352D0-AF69-39F4-683C-9F5B9CA737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oneCell">
    <xdr:from>
      <xdr:col>5</xdr:col>
      <xdr:colOff>542924</xdr:colOff>
      <xdr:row>0</xdr:row>
      <xdr:rowOff>161925</xdr:rowOff>
    </xdr:from>
    <xdr:to>
      <xdr:col>6</xdr:col>
      <xdr:colOff>781049</xdr:colOff>
      <xdr:row>0</xdr:row>
      <xdr:rowOff>457200</xdr:rowOff>
    </xdr:to>
    <xdr:grpSp>
      <xdr:nvGrpSpPr>
        <xdr:cNvPr id="5" name="Group 4">
          <a:hlinkClick xmlns:r="http://schemas.openxmlformats.org/officeDocument/2006/relationships" r:id="rId4"/>
          <a:extLst>
            <a:ext uri="{FF2B5EF4-FFF2-40B4-BE49-F238E27FC236}">
              <a16:creationId xmlns:a16="http://schemas.microsoft.com/office/drawing/2014/main" id="{6ADD583D-7FF8-43E2-98AA-4A59A5CB6562}"/>
            </a:ext>
          </a:extLst>
        </xdr:cNvPr>
        <xdr:cNvGrpSpPr/>
      </xdr:nvGrpSpPr>
      <xdr:grpSpPr>
        <a:xfrm>
          <a:off x="4838699"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04AB4E90-71C3-1CC7-121E-559537EE3CFC}"/>
              </a:ext>
            </a:extLst>
          </xdr:cNvPr>
          <xdr:cNvSpPr/>
        </xdr:nvSpPr>
        <xdr:spPr>
          <a:xfrm>
            <a:off x="5400674" y="152400"/>
            <a:ext cx="1362075" cy="295275"/>
          </a:xfrm>
          <a:prstGeom prst="round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31ADD649-90FA-9FDC-DE0E-F9A24B3F67AC}"/>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34402641-13CA-BE53-C7B3-E5CCBE338445}"/>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C21312FA-0B52-F40B-B88F-7A371AFD480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oneCellAnchor>
    <xdr:from>
      <xdr:col>6</xdr:col>
      <xdr:colOff>1266672</xdr:colOff>
      <xdr:row>0</xdr:row>
      <xdr:rowOff>57151</xdr:rowOff>
    </xdr:from>
    <xdr:ext cx="3705377" cy="504824"/>
    <xdr:pic>
      <xdr:nvPicPr>
        <xdr:cNvPr id="10" name="my-online-training-hub-logo-2">
          <a:extLst>
            <a:ext uri="{FF2B5EF4-FFF2-40B4-BE49-F238E27FC236}">
              <a16:creationId xmlns:a16="http://schemas.microsoft.com/office/drawing/2014/main" id="{058A9850-FFD6-4D72-BC1F-63BC752E922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838672" y="57151"/>
          <a:ext cx="3705377" cy="504824"/>
        </a:xfrm>
        <a:prstGeom prst="rect">
          <a:avLst/>
        </a:prstGeom>
      </xdr:spPr>
    </xdr:pic>
    <xdr:clientData/>
  </xdr:oneCellAnchor>
  <xdr:twoCellAnchor>
    <xdr:from>
      <xdr:col>0</xdr:col>
      <xdr:colOff>180974</xdr:colOff>
      <xdr:row>3</xdr:row>
      <xdr:rowOff>161925</xdr:rowOff>
    </xdr:from>
    <xdr:to>
      <xdr:col>5</xdr:col>
      <xdr:colOff>1047750</xdr:colOff>
      <xdr:row>6</xdr:row>
      <xdr:rowOff>38100</xdr:rowOff>
    </xdr:to>
    <xdr:sp macro="" textlink="">
      <xdr:nvSpPr>
        <xdr:cNvPr id="11" name="Rectangle 10">
          <a:extLst>
            <a:ext uri="{FF2B5EF4-FFF2-40B4-BE49-F238E27FC236}">
              <a16:creationId xmlns:a16="http://schemas.microsoft.com/office/drawing/2014/main" id="{2E7224CE-DA53-470E-B3B0-2F59D2568F05}"/>
            </a:ext>
          </a:extLst>
        </xdr:cNvPr>
        <xdr:cNvSpPr/>
      </xdr:nvSpPr>
      <xdr:spPr>
        <a:xfrm>
          <a:off x="180974" y="2295525"/>
          <a:ext cx="4867276" cy="4476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100"/>
            <a:t>The EOMONTH</a:t>
          </a:r>
          <a:r>
            <a:rPr lang="en-AU" sz="1100" baseline="0"/>
            <a:t> function returns the last day of the month before or after a start date specified with a date serial number </a:t>
          </a:r>
          <a:r>
            <a:rPr lang="en-AU" sz="1100" baseline="0">
              <a:solidFill>
                <a:schemeClr val="dk1"/>
              </a:solidFill>
              <a:effectLst/>
              <a:latin typeface="+mn-lt"/>
              <a:ea typeface="+mn-ea"/>
              <a:cs typeface="+mn-cs"/>
            </a:rPr>
            <a:t>(ignoring any time element)</a:t>
          </a:r>
          <a:r>
            <a:rPr lang="en-AU" sz="1100" baseline="0"/>
            <a:t>.</a:t>
          </a:r>
          <a:endParaRPr lang="en-AU" sz="1100"/>
        </a:p>
      </xdr:txBody>
    </xdr:sp>
    <xdr:clientData/>
  </xdr:twoCellAnchor>
  <xdr:twoCellAnchor>
    <xdr:from>
      <xdr:col>1</xdr:col>
      <xdr:colOff>1</xdr:colOff>
      <xdr:row>20</xdr:row>
      <xdr:rowOff>38100</xdr:rowOff>
    </xdr:from>
    <xdr:to>
      <xdr:col>5</xdr:col>
      <xdr:colOff>638175</xdr:colOff>
      <xdr:row>28</xdr:row>
      <xdr:rowOff>0</xdr:rowOff>
    </xdr:to>
    <xdr:sp macro="" textlink="">
      <xdr:nvSpPr>
        <xdr:cNvPr id="12" name="Rectangle 11">
          <a:extLst>
            <a:ext uri="{FF2B5EF4-FFF2-40B4-BE49-F238E27FC236}">
              <a16:creationId xmlns:a16="http://schemas.microsoft.com/office/drawing/2014/main" id="{DA0F249F-EFE1-49C6-8BE5-6EEE5EC931B6}"/>
            </a:ext>
          </a:extLst>
        </xdr:cNvPr>
        <xdr:cNvSpPr/>
      </xdr:nvSpPr>
      <xdr:spPr>
        <a:xfrm>
          <a:off x="228601" y="6238875"/>
          <a:ext cx="4410074" cy="14859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100" b="1" baseline="0"/>
            <a:t>Bonus Tip: </a:t>
          </a:r>
          <a:r>
            <a:rPr lang="en-AU" sz="1100" b="0" baseline="0"/>
            <a:t>There's no 'STARTOFMONTH' function, but y</a:t>
          </a:r>
          <a:r>
            <a:rPr lang="en-AU" sz="1100" baseline="0"/>
            <a:t>ou can also use EOMONTH to find the start of a month, e.g. let's say your 'start date' is 30th January and you want to return 1st January. You simply use EOMONTH to find the end of the previous month and then add 1: </a:t>
          </a:r>
        </a:p>
        <a:p>
          <a:pPr algn="l"/>
          <a:endParaRPr lang="en-AU" sz="1100" baseline="0"/>
        </a:p>
        <a:p>
          <a:pPr algn="l"/>
          <a:r>
            <a:rPr lang="en-AU" sz="1100" baseline="0"/>
            <a:t>Formula: =EOMONTH(DATE(2017,01,30), -1) </a:t>
          </a:r>
          <a:r>
            <a:rPr lang="en-AU" sz="1100" baseline="0">
              <a:solidFill>
                <a:srgbClr val="FF0000"/>
              </a:solidFill>
            </a:rPr>
            <a:t>+1</a:t>
          </a:r>
        </a:p>
        <a:p>
          <a:pPr algn="l"/>
          <a:r>
            <a:rPr lang="en-AU" sz="1100" baseline="0"/>
            <a:t>Result: = 1st January 2017</a:t>
          </a:r>
        </a:p>
      </xdr:txBody>
    </xdr:sp>
    <xdr:clientData/>
  </xdr:twoCellAnchor>
  <xdr:twoCellAnchor>
    <xdr:from>
      <xdr:col>4</xdr:col>
      <xdr:colOff>247649</xdr:colOff>
      <xdr:row>11</xdr:row>
      <xdr:rowOff>66676</xdr:rowOff>
    </xdr:from>
    <xdr:to>
      <xdr:col>6</xdr:col>
      <xdr:colOff>161925</xdr:colOff>
      <xdr:row>13</xdr:row>
      <xdr:rowOff>9525</xdr:rowOff>
    </xdr:to>
    <xdr:sp macro="" textlink="">
      <xdr:nvSpPr>
        <xdr:cNvPr id="13" name="Speech Bubble: Rectangle 12">
          <a:extLst>
            <a:ext uri="{FF2B5EF4-FFF2-40B4-BE49-F238E27FC236}">
              <a16:creationId xmlns:a16="http://schemas.microsoft.com/office/drawing/2014/main" id="{489799FB-D9AA-4FD9-9065-D6BD1A0D64CA}"/>
            </a:ext>
          </a:extLst>
        </xdr:cNvPr>
        <xdr:cNvSpPr/>
      </xdr:nvSpPr>
      <xdr:spPr>
        <a:xfrm>
          <a:off x="3209924" y="3981451"/>
          <a:ext cx="2076451" cy="895349"/>
        </a:xfrm>
        <a:prstGeom prst="wedgeRectCallout">
          <a:avLst>
            <a:gd name="adj1" fmla="val -56127"/>
            <a:gd name="adj2" fmla="val -2211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AU" sz="1100" b="1"/>
            <a:t>Note:</a:t>
          </a:r>
          <a:r>
            <a:rPr lang="en-AU" sz="1100" b="0"/>
            <a:t> only whole numbers are recognised</a:t>
          </a:r>
          <a:r>
            <a:rPr lang="en-AU" sz="1100" b="0" baseline="0"/>
            <a:t> by </a:t>
          </a:r>
          <a:r>
            <a:rPr lang="en-AU" sz="1100" b="0"/>
            <a:t>the 'months'</a:t>
          </a:r>
          <a:r>
            <a:rPr lang="en-AU" sz="1100" b="0" baseline="0"/>
            <a:t> argument. e.g. 1.7 months would be rounded down to 1. </a:t>
          </a:r>
          <a:endParaRPr lang="en-AU" sz="1100"/>
        </a:p>
      </xdr:txBody>
    </xdr:sp>
    <xdr:clientData/>
  </xdr:twoCellAnchor>
  <xdr:twoCellAnchor>
    <xdr:from>
      <xdr:col>0</xdr:col>
      <xdr:colOff>180974</xdr:colOff>
      <xdr:row>31</xdr:row>
      <xdr:rowOff>161925</xdr:rowOff>
    </xdr:from>
    <xdr:to>
      <xdr:col>6</xdr:col>
      <xdr:colOff>0</xdr:colOff>
      <xdr:row>34</xdr:row>
      <xdr:rowOff>95250</xdr:rowOff>
    </xdr:to>
    <xdr:sp macro="" textlink="">
      <xdr:nvSpPr>
        <xdr:cNvPr id="17" name="Rectangle 16">
          <a:extLst>
            <a:ext uri="{FF2B5EF4-FFF2-40B4-BE49-F238E27FC236}">
              <a16:creationId xmlns:a16="http://schemas.microsoft.com/office/drawing/2014/main" id="{6838B58B-54DD-4A97-847D-D9828F0DB1E3}"/>
            </a:ext>
          </a:extLst>
        </xdr:cNvPr>
        <xdr:cNvSpPr/>
      </xdr:nvSpPr>
      <xdr:spPr>
        <a:xfrm>
          <a:off x="180974" y="8524875"/>
          <a:ext cx="4943476" cy="5048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100"/>
            <a:t>The EDATE</a:t>
          </a:r>
          <a:r>
            <a:rPr lang="en-AU" sz="1100" baseline="0"/>
            <a:t> function rolls a date serial number (ignoring any time element) forward or back based on the number of months specified in the 'months' argument.</a:t>
          </a:r>
          <a:endParaRPr lang="en-AU" sz="1100"/>
        </a:p>
      </xdr:txBody>
    </xdr:sp>
    <xdr:clientData/>
  </xdr:twoCellAnchor>
  <xdr:twoCellAnchor>
    <xdr:from>
      <xdr:col>5</xdr:col>
      <xdr:colOff>200026</xdr:colOff>
      <xdr:row>39</xdr:row>
      <xdr:rowOff>438149</xdr:rowOff>
    </xdr:from>
    <xdr:to>
      <xdr:col>6</xdr:col>
      <xdr:colOff>809626</xdr:colOff>
      <xdr:row>43</xdr:row>
      <xdr:rowOff>0</xdr:rowOff>
    </xdr:to>
    <xdr:sp macro="" textlink="">
      <xdr:nvSpPr>
        <xdr:cNvPr id="18" name="Speech Bubble: Rectangle 17">
          <a:extLst>
            <a:ext uri="{FF2B5EF4-FFF2-40B4-BE49-F238E27FC236}">
              <a16:creationId xmlns:a16="http://schemas.microsoft.com/office/drawing/2014/main" id="{D65995ED-C441-4A5D-BAD5-2E446922FE80}"/>
            </a:ext>
          </a:extLst>
        </xdr:cNvPr>
        <xdr:cNvSpPr/>
      </xdr:nvSpPr>
      <xdr:spPr>
        <a:xfrm>
          <a:off x="4200526" y="10753724"/>
          <a:ext cx="1733550" cy="704851"/>
        </a:xfrm>
        <a:prstGeom prst="wedgeRectCallout">
          <a:avLst>
            <a:gd name="adj1" fmla="val -56127"/>
            <a:gd name="adj2" fmla="val -2211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AU" sz="1100" b="0"/>
            <a:t>Notice </a:t>
          </a:r>
          <a:r>
            <a:rPr lang="en-AU" sz="1100" b="0" baseline="0"/>
            <a:t>the number of days varies depending on the month being adjusted.</a:t>
          </a:r>
          <a:endParaRPr lang="en-AU" sz="1100" b="0"/>
        </a:p>
      </xdr:txBody>
    </xdr:sp>
    <xdr:clientData/>
  </xdr:twoCellAnchor>
  <xdr:twoCellAnchor>
    <xdr:from>
      <xdr:col>2</xdr:col>
      <xdr:colOff>0</xdr:colOff>
      <xdr:row>48</xdr:row>
      <xdr:rowOff>38099</xdr:rowOff>
    </xdr:from>
    <xdr:to>
      <xdr:col>4</xdr:col>
      <xdr:colOff>819150</xdr:colOff>
      <xdr:row>52</xdr:row>
      <xdr:rowOff>0</xdr:rowOff>
    </xdr:to>
    <xdr:sp macro="" textlink="">
      <xdr:nvSpPr>
        <xdr:cNvPr id="19" name="Speech Bubble: Rectangle 18">
          <a:extLst>
            <a:ext uri="{FF2B5EF4-FFF2-40B4-BE49-F238E27FC236}">
              <a16:creationId xmlns:a16="http://schemas.microsoft.com/office/drawing/2014/main" id="{4B8485CD-C898-4CE1-8AE2-4027C34420E6}"/>
            </a:ext>
          </a:extLst>
        </xdr:cNvPr>
        <xdr:cNvSpPr/>
      </xdr:nvSpPr>
      <xdr:spPr>
        <a:xfrm>
          <a:off x="1362075" y="12449174"/>
          <a:ext cx="2419350" cy="723901"/>
        </a:xfrm>
        <a:prstGeom prst="wedgeRectCallout">
          <a:avLst>
            <a:gd name="adj1" fmla="val -22256"/>
            <a:gd name="adj2" fmla="val -6274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AU" sz="1100" b="1"/>
            <a:t>Note:</a:t>
          </a:r>
          <a:r>
            <a:rPr lang="en-AU" sz="1100" b="0"/>
            <a:t> only whole numbers are recognised</a:t>
          </a:r>
          <a:r>
            <a:rPr lang="en-AU" sz="1100" b="0" baseline="0"/>
            <a:t> by </a:t>
          </a:r>
          <a:r>
            <a:rPr lang="en-AU" sz="1100" b="0"/>
            <a:t>the 'months'</a:t>
          </a:r>
          <a:r>
            <a:rPr lang="en-AU" sz="1100" b="0" baseline="0"/>
            <a:t> argument. 6.8 is rounded down to 6. </a:t>
          </a:r>
          <a:endParaRPr lang="en-AU" sz="1100"/>
        </a:p>
      </xdr:txBody>
    </xdr:sp>
    <xdr:clientData/>
  </xdr:twoCellAnchor>
  <xdr:twoCellAnchor editAs="oneCell">
    <xdr:from>
      <xdr:col>2</xdr:col>
      <xdr:colOff>619125</xdr:colOff>
      <xdr:row>63</xdr:row>
      <xdr:rowOff>0</xdr:rowOff>
    </xdr:from>
    <xdr:to>
      <xdr:col>6</xdr:col>
      <xdr:colOff>371475</xdr:colOff>
      <xdr:row>74</xdr:row>
      <xdr:rowOff>342900</xdr:rowOff>
    </xdr:to>
    <xdr:pic>
      <xdr:nvPicPr>
        <xdr:cNvPr id="28" name="Picture 27" descr="C:\Users\mynda\AppData\Local\Temp\SNAGHTML2438ed2.PNG">
          <a:extLst>
            <a:ext uri="{FF2B5EF4-FFF2-40B4-BE49-F238E27FC236}">
              <a16:creationId xmlns:a16="http://schemas.microsoft.com/office/drawing/2014/main" id="{E35B5B1D-2D5E-4105-9244-16CFDB697FDC}"/>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16065"/>
        <a:stretch/>
      </xdr:blipFill>
      <xdr:spPr bwMode="auto">
        <a:xfrm>
          <a:off x="1981200" y="14239875"/>
          <a:ext cx="38100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142875</xdr:colOff>
      <xdr:row>82</xdr:row>
      <xdr:rowOff>19050</xdr:rowOff>
    </xdr:from>
    <xdr:to>
      <xdr:col>6</xdr:col>
      <xdr:colOff>1133475</xdr:colOff>
      <xdr:row>87</xdr:row>
      <xdr:rowOff>133350</xdr:rowOff>
    </xdr:to>
    <xdr:sp macro="" textlink="">
      <xdr:nvSpPr>
        <xdr:cNvPr id="29" name="Speech Bubble: Rectangle 28">
          <a:extLst>
            <a:ext uri="{FF2B5EF4-FFF2-40B4-BE49-F238E27FC236}">
              <a16:creationId xmlns:a16="http://schemas.microsoft.com/office/drawing/2014/main" id="{F9A77BEF-08FD-44A8-99F2-99F05EB1D512}"/>
            </a:ext>
          </a:extLst>
        </xdr:cNvPr>
        <xdr:cNvSpPr/>
      </xdr:nvSpPr>
      <xdr:spPr>
        <a:xfrm>
          <a:off x="4438650" y="18268950"/>
          <a:ext cx="2114550" cy="1066800"/>
        </a:xfrm>
        <a:prstGeom prst="wedgeRectCallout">
          <a:avLst>
            <a:gd name="adj1" fmla="val -56127"/>
            <a:gd name="adj2" fmla="val -2211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AU" sz="1100" b="1"/>
            <a:t>Tip: </a:t>
          </a:r>
          <a:r>
            <a:rPr lang="en-AU" sz="1100" b="0"/>
            <a:t>NETWORKDAYS.INTL works with dates stored</a:t>
          </a:r>
          <a:r>
            <a:rPr lang="en-AU" sz="1100" b="0" baseline="0"/>
            <a:t> as text, but this is not reliable. It's always best to work with date serial numbers.</a:t>
          </a:r>
          <a:endParaRPr lang="en-AU" sz="1100"/>
        </a:p>
      </xdr:txBody>
    </xdr:sp>
    <xdr:clientData/>
  </xdr:twoCellAnchor>
  <xdr:twoCellAnchor editAs="oneCell">
    <xdr:from>
      <xdr:col>5</xdr:col>
      <xdr:colOff>142874</xdr:colOff>
      <xdr:row>76</xdr:row>
      <xdr:rowOff>314325</xdr:rowOff>
    </xdr:from>
    <xdr:to>
      <xdr:col>6</xdr:col>
      <xdr:colOff>1123949</xdr:colOff>
      <xdr:row>80</xdr:row>
      <xdr:rowOff>76200</xdr:rowOff>
    </xdr:to>
    <xdr:grpSp>
      <xdr:nvGrpSpPr>
        <xdr:cNvPr id="30" name="Group 29">
          <a:extLst>
            <a:ext uri="{FF2B5EF4-FFF2-40B4-BE49-F238E27FC236}">
              <a16:creationId xmlns:a16="http://schemas.microsoft.com/office/drawing/2014/main" id="{A38B7D69-486D-45BD-9184-E3D3EEDAAE42}"/>
            </a:ext>
          </a:extLst>
        </xdr:cNvPr>
        <xdr:cNvGrpSpPr/>
      </xdr:nvGrpSpPr>
      <xdr:grpSpPr>
        <a:xfrm>
          <a:off x="4438649" y="17230725"/>
          <a:ext cx="2105025" cy="714375"/>
          <a:chOff x="6181724" y="2344680"/>
          <a:chExt cx="2105025" cy="574051"/>
        </a:xfrm>
      </xdr:grpSpPr>
      <xdr:sp macro="" textlink="">
        <xdr:nvSpPr>
          <xdr:cNvPr id="31" name="Speech Bubble: Rectangle 30">
            <a:extLst>
              <a:ext uri="{FF2B5EF4-FFF2-40B4-BE49-F238E27FC236}">
                <a16:creationId xmlns:a16="http://schemas.microsoft.com/office/drawing/2014/main" id="{123546E2-AC34-B49E-60E3-67CBFCDC2252}"/>
              </a:ext>
            </a:extLst>
          </xdr:cNvPr>
          <xdr:cNvSpPr/>
        </xdr:nvSpPr>
        <xdr:spPr>
          <a:xfrm>
            <a:off x="6181724" y="2344680"/>
            <a:ext cx="2105025" cy="574051"/>
          </a:xfrm>
          <a:prstGeom prst="wedgeRectCallout">
            <a:avLst>
              <a:gd name="adj1" fmla="val -56579"/>
              <a:gd name="adj2" fmla="val 2055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100" b="0"/>
              <a:t>NETWORKDAYS.INTL</a:t>
            </a:r>
            <a:r>
              <a:rPr lang="en-AU" sz="1100" b="0" baseline="0"/>
              <a:t> results are inclusive of the start </a:t>
            </a:r>
          </a:p>
          <a:p>
            <a:pPr algn="l"/>
            <a:r>
              <a:rPr lang="en-AU" sz="1100" b="0" baseline="0"/>
              <a:t>and end dates.</a:t>
            </a:r>
            <a:endParaRPr lang="en-AU" sz="1100" b="0"/>
          </a:p>
        </xdr:txBody>
      </xdr:sp>
      <xdr:pic>
        <xdr:nvPicPr>
          <xdr:cNvPr id="32" name="Graphic 31" descr="Surprised Face with No Fill">
            <a:extLst>
              <a:ext uri="{FF2B5EF4-FFF2-40B4-BE49-F238E27FC236}">
                <a16:creationId xmlns:a16="http://schemas.microsoft.com/office/drawing/2014/main" id="{E39E0FD1-A2C6-FFA0-FAD8-050542C44FC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891273" y="2553212"/>
            <a:ext cx="395476" cy="327250"/>
          </a:xfrm>
          <a:prstGeom prst="rect">
            <a:avLst/>
          </a:prstGeom>
        </xdr:spPr>
      </xdr:pic>
    </xdr:grpSp>
    <xdr:clientData/>
  </xdr:twoCellAnchor>
  <xdr:twoCellAnchor editAs="oneCell">
    <xdr:from>
      <xdr:col>0</xdr:col>
      <xdr:colOff>209550</xdr:colOff>
      <xdr:row>91</xdr:row>
      <xdr:rowOff>76200</xdr:rowOff>
    </xdr:from>
    <xdr:to>
      <xdr:col>6</xdr:col>
      <xdr:colOff>1114425</xdr:colOff>
      <xdr:row>97</xdr:row>
      <xdr:rowOff>219075</xdr:rowOff>
    </xdr:to>
    <xdr:sp macro="" textlink="">
      <xdr:nvSpPr>
        <xdr:cNvPr id="33" name="Rectangle 32">
          <a:extLst>
            <a:ext uri="{FF2B5EF4-FFF2-40B4-BE49-F238E27FC236}">
              <a16:creationId xmlns:a16="http://schemas.microsoft.com/office/drawing/2014/main" id="{836325BB-1BA2-49C2-A827-2DF3241098DA}"/>
            </a:ext>
          </a:extLst>
        </xdr:cNvPr>
        <xdr:cNvSpPr/>
      </xdr:nvSpPr>
      <xdr:spPr>
        <a:xfrm>
          <a:off x="209550" y="20040600"/>
          <a:ext cx="6324600" cy="12858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AU" sz="1100" b="1"/>
            <a:t>Bonus Tip: </a:t>
          </a:r>
          <a:r>
            <a:rPr lang="en-AU" sz="1100" b="0"/>
            <a:t>the</a:t>
          </a:r>
          <a:r>
            <a:rPr lang="en-AU" sz="1100" b="0" baseline="0"/>
            <a:t> weekend argument can be stipulated using a text string of 7 characters, with each character representing a day, starting with Monday. A 1 represents a non-working day and a 0 represents a workday. See examples below which stipulate non-workdays for Thursday, Friday, Saturday and Sunday. </a:t>
          </a:r>
        </a:p>
        <a:p>
          <a:pPr algn="l"/>
          <a:endParaRPr lang="en-AU" sz="1100" b="0" baseline="0"/>
        </a:p>
        <a:p>
          <a:pPr algn="l"/>
          <a:r>
            <a:rPr lang="en-AU" sz="1100" b="0" baseline="0"/>
            <a:t>The text string can be placed in a cell e.g. D45 or directly in the formula, see cell E46.</a:t>
          </a:r>
          <a:endParaRPr lang="en-AU" sz="1100"/>
        </a:p>
      </xdr:txBody>
    </xdr:sp>
    <xdr:clientData/>
  </xdr:twoCellAnchor>
  <xdr:twoCellAnchor>
    <xdr:from>
      <xdr:col>1</xdr:col>
      <xdr:colOff>0</xdr:colOff>
      <xdr:row>55</xdr:row>
      <xdr:rowOff>66676</xdr:rowOff>
    </xdr:from>
    <xdr:to>
      <xdr:col>6</xdr:col>
      <xdr:colOff>47626</xdr:colOff>
      <xdr:row>58</xdr:row>
      <xdr:rowOff>123826</xdr:rowOff>
    </xdr:to>
    <xdr:sp macro="" textlink="">
      <xdr:nvSpPr>
        <xdr:cNvPr id="34" name="Rectangle 33">
          <a:extLst>
            <a:ext uri="{FF2B5EF4-FFF2-40B4-BE49-F238E27FC236}">
              <a16:creationId xmlns:a16="http://schemas.microsoft.com/office/drawing/2014/main" id="{FF88F42C-9478-E054-9104-F350315D3767}"/>
            </a:ext>
          </a:extLst>
        </xdr:cNvPr>
        <xdr:cNvSpPr/>
      </xdr:nvSpPr>
      <xdr:spPr>
        <a:xfrm>
          <a:off x="228600" y="12277726"/>
          <a:ext cx="5238751" cy="6286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AU" sz="1100" b="0" i="0">
              <a:solidFill>
                <a:schemeClr val="dk1"/>
              </a:solidFill>
              <a:effectLst/>
              <a:latin typeface="+mn-lt"/>
              <a:ea typeface="+mn-ea"/>
              <a:cs typeface="+mn-cs"/>
            </a:rPr>
            <a:t>NETWORKDAYS.INTL returns the number of whole workdays between two dates using parameters to indicate which and how many days are weekend days. Weekend days and any days that are specified as holidays are not considered as workdays.</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1847850</xdr:colOff>
      <xdr:row>30</xdr:row>
      <xdr:rowOff>171450</xdr:rowOff>
    </xdr:from>
    <xdr:to>
      <xdr:col>2</xdr:col>
      <xdr:colOff>2447925</xdr:colOff>
      <xdr:row>34</xdr:row>
      <xdr:rowOff>9525</xdr:rowOff>
    </xdr:to>
    <xdr:pic>
      <xdr:nvPicPr>
        <xdr:cNvPr id="9" name="Picture 8" descr="Twitter Page">
          <a:hlinkClick xmlns:r="http://schemas.openxmlformats.org/officeDocument/2006/relationships" r:id="rId16"/>
          <a:extLst>
            <a:ext uri="{FF2B5EF4-FFF2-40B4-BE49-F238E27FC236}">
              <a16:creationId xmlns:a16="http://schemas.microsoft.com/office/drawing/2014/main" id="{A724A554-DD9E-1DD5-3027-B56271741F1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bwMode="auto">
        <a:xfrm>
          <a:off x="5200650" y="6343650"/>
          <a:ext cx="600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A55B5F-2F6F-4D0D-82CE-8911504BD2BA}" name="Table15" displayName="Table15" ref="B10:D15" totalsRowShown="0" headerRowDxfId="31" dataDxfId="30">
  <autoFilter ref="B10:D15" xr:uid="{A5A55B5F-2F6F-4D0D-82CE-8911504BD2BA}"/>
  <tableColumns count="3">
    <tableColumn id="1" xr3:uid="{3307721D-AE23-449A-937C-783137A7C374}" name="Item" dataDxfId="29"/>
    <tableColumn id="2" xr3:uid="{D80D3C53-6001-4FE8-9848-74FF98F80587}" name="Loan Date" dataDxfId="28"/>
    <tableColumn id="4" xr3:uid="{A4C56334-4D8C-4F7F-A433-3249E0980C36}" name="Status" dataDxfId="27">
      <calculatedColumnFormula>IF(TODAY()-Table15[[#This Row],[Loan Date]]&gt;=90,"Due","Not Due")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BCF16C-F7D2-4F3C-BFEB-D0B53E6C32CB}" name="Table2" displayName="Table2" ref="B24:D29" totalsRowShown="0" headerRowDxfId="26" dataDxfId="25">
  <autoFilter ref="B24:D29" xr:uid="{7EBCF16C-F7D2-4F3C-BFEB-D0B53E6C32CB}"/>
  <tableColumns count="3">
    <tableColumn id="1" xr3:uid="{FBD65105-C183-4548-8D60-4CF74D1D7576}" name="Item" dataDxfId="24"/>
    <tableColumn id="2" xr3:uid="{2BB8164F-3643-4CDD-9BF1-B16FFD556033}" name="Loan Date" dataDxfId="23"/>
    <tableColumn id="4" xr3:uid="{C3CB1BC7-51A1-481B-B440-86394AF75C36}" name="Status" dataDxfId="22">
      <calculatedColumnFormula>IF(TODAY()-Table2[[#This Row],[Loan Date]]&gt;90,"Overdue",IF(TODAY()-Table2[[#This Row],[Loan Date]]=90,"Due","Not Due"))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2E7215-253A-452E-BBA4-E5B94013291A}" name="Table3" displayName="Table3" ref="B40:D45" totalsRowShown="0" headerRowDxfId="21" dataDxfId="20">
  <autoFilter ref="B40:D45" xr:uid="{E92E7215-253A-452E-BBA4-E5B94013291A}"/>
  <tableColumns count="3">
    <tableColumn id="1" xr3:uid="{72E6B367-0616-422E-A068-B3C4C6E9D5A9}" name="Item" dataDxfId="19"/>
    <tableColumn id="2" xr3:uid="{BBDA7002-AD10-4A36-AAD2-B8D7049FF603}" name="Loan Date" dataDxfId="18"/>
    <tableColumn id="4" xr3:uid="{E49B23C7-0BB2-42D3-84F8-5D136BC57999}" name="Status" dataDxfId="17">
      <calculatedColumnFormula array="1">_xlfn.IFS(TODAY()-Table3[[#This Row],[Loan Date]]&gt;90,"Overdue",TODAY()-Table3[[#This Row],[Loan Date]]=90,"Due",TRUE,"Not Due")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27A953-52F2-4EDA-A9F9-8E4603C1D5A8}" name="IF_AND" displayName="IF_AND" ref="B53:F64" totalsRowShown="0" headerRowDxfId="16" headerRowBorderDxfId="15">
  <tableColumns count="5">
    <tableColumn id="1" xr3:uid="{9F27107B-E1D8-4FE6-AE85-83E2DFE2F523}" name="Name"/>
    <tableColumn id="2" xr3:uid="{3B3AC863-0E1A-4F1A-8272-2D1297FC9024}" name="Popular" dataDxfId="14"/>
    <tableColumn id="3" xr3:uid="{68FDEC9C-3EC5-45B5-B87A-F73DB24820A0}" name="Salary $k" dataDxfId="13" dataCellStyle="Comma"/>
    <tableColumn id="4" xr3:uid="{305B49C8-4FF4-490E-80BA-9DA96DA9E91B}" name="Bonus $k" dataDxfId="12" dataCellStyle="Comma">
      <calculatedColumnFormula>IF(AND(C54="Yes",D54&lt;100),D54*$I$53,"Nil")</calculatedColumnFormula>
    </tableColumn>
    <tableColumn id="5" xr3:uid="{5B2C6A43-8B60-42B9-AB15-F3CEDCC721FA}" name="Gross $k" dataDxfId="11"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FD806F-05F2-449D-B54E-8F3F9B6602E0}" name="IF_OR" displayName="IF_OR" ref="B72:F83" totalsRowShown="0" headerRowDxfId="10" headerRowBorderDxfId="9">
  <tableColumns count="5">
    <tableColumn id="1" xr3:uid="{D6B2D92B-9F5B-4998-9ABF-BD06EBBCDD73}" name="Name" dataCellStyle="Normal 2"/>
    <tableColumn id="2" xr3:uid="{CDCC8162-99A0-4F08-90D8-F2981B232EF4}" name="Popular" dataDxfId="8" dataCellStyle="Normal 2"/>
    <tableColumn id="3" xr3:uid="{4D296A25-766E-4F2B-9218-81B67800AD67}" name="Salary $k" dataDxfId="7" dataCellStyle="Comma 2"/>
    <tableColumn id="4" xr3:uid="{44EFE5A9-C353-4B67-B899-8DA2F84329F1}" name="Bonus $k" dataDxfId="6" dataCellStyle="Comma 2">
      <calculatedColumnFormula>IF(OR(C73="Yes",D73&lt;100),D73*$I$72,"Nil")</calculatedColumnFormula>
    </tableColumn>
    <tableColumn id="5" xr3:uid="{66E0C91F-10D0-43FE-9264-A1625D7B2243}" name="Gross $k" dataDxfId="5" dataCellStyle="Comma 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62C876-57FA-4310-B7C4-CDC87B2C76B2}" name="Table1" displayName="Table1" ref="A1:D76" totalsRowShown="0" headerRowDxfId="4">
  <autoFilter ref="A1:D76" xr:uid="{BC62C876-57FA-4310-B7C4-CDC87B2C76B2}"/>
  <tableColumns count="4">
    <tableColumn id="1" xr3:uid="{5D543D91-34E3-4E48-9183-4E64958AFC5E}" name="Year" dataDxfId="3"/>
    <tableColumn id="2" xr3:uid="{A4438921-24BE-467E-BB0F-12E5212D3DC0}" name="Category" dataDxfId="2"/>
    <tableColumn id="3" xr3:uid="{C9D13DE6-399B-482F-A55F-23A3FFB3AA54}" name="Product" dataDxfId="1"/>
    <tableColumn id="4" xr3:uid="{F9DF5BF8-70F8-44D0-83C5-5DDEDAF47DD6}" name="Sal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9.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tabSelected="1" workbookViewId="0">
      <selection activeCell="A3" sqref="A3"/>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B39"/>
  <sheetViews>
    <sheetView showGridLines="0" workbookViewId="0">
      <selection activeCell="A2" sqref="A2"/>
    </sheetView>
  </sheetViews>
  <sheetFormatPr defaultRowHeight="16.5" x14ac:dyDescent="0.3"/>
  <cols>
    <col min="1" max="1" width="3.42578125" style="4" customWidth="1"/>
    <col min="2" max="2" width="30.5703125" style="4" bestFit="1" customWidth="1"/>
    <col min="3" max="3" width="21.42578125" style="4" bestFit="1" customWidth="1"/>
    <col min="4" max="4" width="8.85546875" style="4" bestFit="1" customWidth="1"/>
    <col min="5" max="5" width="15.5703125" style="4"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2" s="7" customFormat="1" ht="48.75" customHeight="1" x14ac:dyDescent="0.25">
      <c r="A1" s="7" t="s">
        <v>86</v>
      </c>
    </row>
    <row r="3" spans="1:2" ht="18.75" x14ac:dyDescent="0.3">
      <c r="B3" s="139" t="s">
        <v>87</v>
      </c>
    </row>
    <row r="4" spans="1:2" x14ac:dyDescent="0.3">
      <c r="B4" s="138" t="s">
        <v>88</v>
      </c>
    </row>
    <row r="5" spans="1:2" x14ac:dyDescent="0.3">
      <c r="B5" s="138" t="s">
        <v>91</v>
      </c>
    </row>
    <row r="6" spans="1:2" x14ac:dyDescent="0.3">
      <c r="B6" s="138" t="s">
        <v>92</v>
      </c>
    </row>
    <row r="7" spans="1:2" x14ac:dyDescent="0.3">
      <c r="B7" s="138" t="s">
        <v>90</v>
      </c>
    </row>
    <row r="8" spans="1:2" x14ac:dyDescent="0.3">
      <c r="B8" s="138" t="s">
        <v>89</v>
      </c>
    </row>
    <row r="9" spans="1:2" ht="10.5" customHeight="1" x14ac:dyDescent="0.3">
      <c r="B9" s="139"/>
    </row>
    <row r="10" spans="1:2" ht="18.75" x14ac:dyDescent="0.3">
      <c r="B10" s="139" t="s">
        <v>93</v>
      </c>
    </row>
    <row r="11" spans="1:2" x14ac:dyDescent="0.3">
      <c r="B11" s="138" t="s">
        <v>94</v>
      </c>
    </row>
    <row r="12" spans="1:2" x14ac:dyDescent="0.3">
      <c r="B12" s="138" t="s">
        <v>97</v>
      </c>
    </row>
    <row r="13" spans="1:2" x14ac:dyDescent="0.3">
      <c r="B13" s="138" t="s">
        <v>98</v>
      </c>
    </row>
    <row r="14" spans="1:2" x14ac:dyDescent="0.3">
      <c r="B14" s="138" t="s">
        <v>96</v>
      </c>
    </row>
    <row r="15" spans="1:2" x14ac:dyDescent="0.3">
      <c r="B15" s="138" t="s">
        <v>95</v>
      </c>
    </row>
    <row r="16" spans="1:2" ht="10.5" customHeight="1" x14ac:dyDescent="0.3">
      <c r="B16" s="139"/>
    </row>
    <row r="17" spans="2:2" ht="18.75" x14ac:dyDescent="0.3">
      <c r="B17" s="139" t="s">
        <v>285</v>
      </c>
    </row>
    <row r="18" spans="2:2" x14ac:dyDescent="0.3">
      <c r="B18" s="138" t="s">
        <v>99</v>
      </c>
    </row>
    <row r="19" spans="2:2" x14ac:dyDescent="0.3">
      <c r="B19" s="138" t="s">
        <v>286</v>
      </c>
    </row>
    <row r="20" spans="2:2" x14ac:dyDescent="0.3">
      <c r="B20" s="138" t="s">
        <v>100</v>
      </c>
    </row>
    <row r="21" spans="2:2" x14ac:dyDescent="0.3">
      <c r="B21" s="138" t="s">
        <v>287</v>
      </c>
    </row>
    <row r="22" spans="2:2" x14ac:dyDescent="0.3">
      <c r="B22" s="138" t="s">
        <v>288</v>
      </c>
    </row>
    <row r="23" spans="2:2" ht="10.5" customHeight="1" x14ac:dyDescent="0.3">
      <c r="B23" s="139"/>
    </row>
    <row r="24" spans="2:2" ht="18.75" x14ac:dyDescent="0.3">
      <c r="B24" s="139" t="s">
        <v>279</v>
      </c>
    </row>
    <row r="25" spans="2:2" x14ac:dyDescent="0.3">
      <c r="B25" s="138" t="s">
        <v>101</v>
      </c>
    </row>
    <row r="26" spans="2:2" x14ac:dyDescent="0.3">
      <c r="B26" s="138" t="s">
        <v>102</v>
      </c>
    </row>
    <row r="27" spans="2:2" ht="10.5" customHeight="1" x14ac:dyDescent="0.3">
      <c r="B27" s="139"/>
    </row>
    <row r="28" spans="2:2" ht="18.75" x14ac:dyDescent="0.3">
      <c r="B28" s="139" t="s">
        <v>280</v>
      </c>
    </row>
    <row r="29" spans="2:2" x14ac:dyDescent="0.3">
      <c r="B29" s="138" t="s">
        <v>103</v>
      </c>
    </row>
    <row r="30" spans="2:2" x14ac:dyDescent="0.3">
      <c r="B30" s="138" t="s">
        <v>104</v>
      </c>
    </row>
    <row r="31" spans="2:2" x14ac:dyDescent="0.3">
      <c r="B31" s="138" t="s">
        <v>105</v>
      </c>
    </row>
    <row r="32" spans="2:2" x14ac:dyDescent="0.3">
      <c r="B32" s="138" t="s">
        <v>106</v>
      </c>
    </row>
    <row r="33" spans="2:2" ht="10.5" customHeight="1" x14ac:dyDescent="0.3">
      <c r="B33" s="139"/>
    </row>
    <row r="34" spans="2:2" ht="18.75" x14ac:dyDescent="0.3">
      <c r="B34" s="139" t="s">
        <v>281</v>
      </c>
    </row>
    <row r="35" spans="2:2" x14ac:dyDescent="0.3">
      <c r="B35" s="138" t="s">
        <v>107</v>
      </c>
    </row>
    <row r="36" spans="2:2" x14ac:dyDescent="0.3">
      <c r="B36" s="138" t="s">
        <v>108</v>
      </c>
    </row>
    <row r="37" spans="2:2" x14ac:dyDescent="0.3">
      <c r="B37" s="138" t="s">
        <v>109</v>
      </c>
    </row>
    <row r="38" spans="2:2" ht="18.75" x14ac:dyDescent="0.3">
      <c r="B38" s="139"/>
    </row>
    <row r="39" spans="2:2" ht="18.75" x14ac:dyDescent="0.3">
      <c r="B39" s="139"/>
    </row>
  </sheetData>
  <sortState xmlns:xlrd2="http://schemas.microsoft.com/office/spreadsheetml/2017/richdata2" ref="E3:E38">
    <sortCondition ref="E3:E38"/>
  </sortState>
  <hyperlinks>
    <hyperlink ref="B3" location="'Standard Aggregations'!A1" display="Standard Aggregations" xr:uid="{1A644FE7-6F94-4587-B04D-A279E06D6143}"/>
    <hyperlink ref="B10" location="'Conditional Aggregations'!A1" display="Conditional Aggregations" xr:uid="{38B96895-01D1-487F-9271-2FB0A6A2283C}"/>
    <hyperlink ref="B17" location="Logic!A1" display="Locical Functions" xr:uid="{CA8B966F-D907-47F9-B88E-C06249A12017}"/>
    <hyperlink ref="B24" location="Lookup!A1" display="Lookup Functions" xr:uid="{8AD617ED-F94E-4694-8C21-7ABB87A70AD6}"/>
    <hyperlink ref="B28" location="Financial!A1" display="Financial Functions" xr:uid="{A0E43235-ADDF-433F-9ADC-3829AB42A27B}"/>
    <hyperlink ref="B34" location="Dates!A1" display="Date Functions" xr:uid="{2476B34D-B49D-46C5-9438-CE9DEF9A216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2F3D-AF86-4A23-8C4B-7F6A7056079F}">
  <dimension ref="A1:H23"/>
  <sheetViews>
    <sheetView showGridLines="0" workbookViewId="0">
      <selection activeCell="A2" sqref="A2"/>
    </sheetView>
  </sheetViews>
  <sheetFormatPr defaultRowHeight="16.5" x14ac:dyDescent="0.3"/>
  <cols>
    <col min="1" max="1" width="3.42578125" style="4" customWidth="1"/>
    <col min="2" max="2" width="14.5703125" style="4" customWidth="1"/>
    <col min="3" max="3" width="15.5703125" style="4" bestFit="1" customWidth="1"/>
    <col min="4" max="5" width="10.140625" style="4" customWidth="1"/>
    <col min="6" max="6" width="16.85546875" style="4" customWidth="1"/>
    <col min="7" max="7" width="10" style="4" bestFit="1" customWidth="1"/>
    <col min="8" max="8" width="21.5703125"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8" s="7" customFormat="1" ht="48.75" customHeight="1" x14ac:dyDescent="0.25">
      <c r="A1" s="7" t="s">
        <v>87</v>
      </c>
    </row>
    <row r="3" spans="1:8" x14ac:dyDescent="0.3">
      <c r="B3" s="20" t="s">
        <v>111</v>
      </c>
      <c r="C3" s="115" t="s">
        <v>209</v>
      </c>
      <c r="D3" s="11"/>
      <c r="E3" s="11"/>
    </row>
    <row r="4" spans="1:8" x14ac:dyDescent="0.3">
      <c r="B4" s="20" t="s">
        <v>111</v>
      </c>
      <c r="C4" s="115" t="s">
        <v>212</v>
      </c>
      <c r="D4" s="11"/>
      <c r="E4" s="11"/>
    </row>
    <row r="5" spans="1:8" x14ac:dyDescent="0.3">
      <c r="B5" s="20" t="s">
        <v>111</v>
      </c>
      <c r="C5" s="115" t="s">
        <v>213</v>
      </c>
      <c r="D5" s="11"/>
      <c r="E5" s="11"/>
    </row>
    <row r="6" spans="1:8" x14ac:dyDescent="0.3">
      <c r="B6" s="20" t="s">
        <v>111</v>
      </c>
      <c r="C6" s="115" t="s">
        <v>211</v>
      </c>
      <c r="D6" s="11"/>
      <c r="E6" s="11"/>
    </row>
    <row r="7" spans="1:8" x14ac:dyDescent="0.3">
      <c r="B7" s="20" t="s">
        <v>111</v>
      </c>
      <c r="C7" s="115" t="s">
        <v>210</v>
      </c>
      <c r="D7" s="11"/>
      <c r="E7" s="11"/>
    </row>
    <row r="9" spans="1:8" x14ac:dyDescent="0.3">
      <c r="B9" s="55" t="s">
        <v>54</v>
      </c>
      <c r="C9" s="56" t="s">
        <v>55</v>
      </c>
      <c r="D9" s="57" t="s">
        <v>56</v>
      </c>
      <c r="F9" s="116" t="s">
        <v>216</v>
      </c>
      <c r="G9" s="116" t="s">
        <v>215</v>
      </c>
      <c r="H9" s="116" t="s">
        <v>214</v>
      </c>
    </row>
    <row r="10" spans="1:8" x14ac:dyDescent="0.3">
      <c r="B10" s="60" t="s">
        <v>68</v>
      </c>
      <c r="C10" s="61" t="s">
        <v>77</v>
      </c>
      <c r="D10" s="62">
        <v>64400</v>
      </c>
      <c r="F10" t="s">
        <v>88</v>
      </c>
      <c r="G10" s="12">
        <f>SUM(D10:D23)</f>
        <v>416100</v>
      </c>
      <c r="H10" s="4" t="str">
        <f ca="1">IFERROR(_xlfn.FORMULATEXT(G10),"")</f>
        <v>=SUM(D10:D23)</v>
      </c>
    </row>
    <row r="11" spans="1:8" x14ac:dyDescent="0.3">
      <c r="B11" s="64" t="s">
        <v>68</v>
      </c>
      <c r="C11" s="65" t="s">
        <v>69</v>
      </c>
      <c r="D11" s="66">
        <v>36400</v>
      </c>
      <c r="F11" t="s">
        <v>91</v>
      </c>
      <c r="G11" s="12">
        <f>MIN(D10:D23)</f>
        <v>7500</v>
      </c>
      <c r="H11" s="4" t="str">
        <f t="shared" ref="H11:H14" ca="1" si="0">IFERROR(_xlfn.FORMULATEXT(G11),"")</f>
        <v>=MIN(D10:D23)</v>
      </c>
    </row>
    <row r="12" spans="1:8" x14ac:dyDescent="0.3">
      <c r="B12" s="60" t="s">
        <v>68</v>
      </c>
      <c r="C12" s="61" t="s">
        <v>70</v>
      </c>
      <c r="D12" s="62">
        <v>36700</v>
      </c>
      <c r="F12" t="s">
        <v>92</v>
      </c>
      <c r="G12" s="12">
        <f>MAX(D10:D23)</f>
        <v>90700</v>
      </c>
      <c r="H12" s="4" t="str">
        <f t="shared" ca="1" si="0"/>
        <v>=MAX(D10:D23)</v>
      </c>
    </row>
    <row r="13" spans="1:8" x14ac:dyDescent="0.3">
      <c r="B13" s="64" t="s">
        <v>68</v>
      </c>
      <c r="C13" s="65" t="s">
        <v>71</v>
      </c>
      <c r="D13" s="66">
        <v>35000</v>
      </c>
      <c r="F13" t="s">
        <v>90</v>
      </c>
      <c r="G13" s="12">
        <f>AVERAGE(D10:D23)</f>
        <v>29721.428571428572</v>
      </c>
      <c r="H13" s="4" t="str">
        <f t="shared" ca="1" si="0"/>
        <v>=AVERAGE(D10:D23)</v>
      </c>
    </row>
    <row r="14" spans="1:8" x14ac:dyDescent="0.3">
      <c r="B14" s="60" t="s">
        <v>66</v>
      </c>
      <c r="C14" s="61" t="s">
        <v>76</v>
      </c>
      <c r="D14" s="62">
        <v>13000</v>
      </c>
      <c r="F14" t="s">
        <v>89</v>
      </c>
      <c r="G14" s="12">
        <f>COUNT(D10:D23)</f>
        <v>14</v>
      </c>
      <c r="H14" s="4" t="str">
        <f t="shared" ca="1" si="0"/>
        <v>=COUNT(D10:D23)</v>
      </c>
    </row>
    <row r="15" spans="1:8" x14ac:dyDescent="0.3">
      <c r="B15" s="64" t="s">
        <v>66</v>
      </c>
      <c r="C15" s="65" t="s">
        <v>67</v>
      </c>
      <c r="D15" s="66">
        <v>8500</v>
      </c>
    </row>
    <row r="16" spans="1:8" x14ac:dyDescent="0.3">
      <c r="B16" s="60" t="s">
        <v>59</v>
      </c>
      <c r="C16" s="61" t="s">
        <v>61</v>
      </c>
      <c r="D16" s="62">
        <v>10200</v>
      </c>
    </row>
    <row r="17" spans="2:4" x14ac:dyDescent="0.3">
      <c r="B17" s="64" t="s">
        <v>59</v>
      </c>
      <c r="C17" s="65" t="s">
        <v>78</v>
      </c>
      <c r="D17" s="66">
        <v>23600</v>
      </c>
    </row>
    <row r="18" spans="2:4" x14ac:dyDescent="0.3">
      <c r="B18" s="60" t="s">
        <v>59</v>
      </c>
      <c r="C18" s="61" t="s">
        <v>84</v>
      </c>
      <c r="D18" s="62">
        <v>90700</v>
      </c>
    </row>
    <row r="19" spans="2:4" x14ac:dyDescent="0.3">
      <c r="B19" s="64" t="s">
        <v>59</v>
      </c>
      <c r="C19" s="65" t="s">
        <v>73</v>
      </c>
      <c r="D19" s="66">
        <v>7500</v>
      </c>
    </row>
    <row r="20" spans="2:4" x14ac:dyDescent="0.3">
      <c r="B20" s="60" t="s">
        <v>57</v>
      </c>
      <c r="C20" s="61" t="s">
        <v>72</v>
      </c>
      <c r="D20" s="62">
        <v>17500</v>
      </c>
    </row>
    <row r="21" spans="2:4" x14ac:dyDescent="0.3">
      <c r="B21" s="64" t="s">
        <v>57</v>
      </c>
      <c r="C21" s="65" t="s">
        <v>65</v>
      </c>
      <c r="D21" s="66">
        <v>8500</v>
      </c>
    </row>
    <row r="22" spans="2:4" x14ac:dyDescent="0.3">
      <c r="B22" s="60" t="s">
        <v>57</v>
      </c>
      <c r="C22" s="61" t="s">
        <v>58</v>
      </c>
      <c r="D22" s="62">
        <v>56000</v>
      </c>
    </row>
    <row r="23" spans="2:4" x14ac:dyDescent="0.3">
      <c r="B23" s="68" t="s">
        <v>57</v>
      </c>
      <c r="C23" s="69" t="s">
        <v>64</v>
      </c>
      <c r="D23" s="70">
        <v>8100</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CBB4-EEEB-4DC7-BD93-867B70407D83}">
  <dimension ref="A1:P27"/>
  <sheetViews>
    <sheetView showGridLines="0" workbookViewId="0">
      <selection activeCell="A2" sqref="A2"/>
    </sheetView>
  </sheetViews>
  <sheetFormatPr defaultRowHeight="16.5" x14ac:dyDescent="0.3"/>
  <cols>
    <col min="1" max="1" width="3.42578125" style="4" customWidth="1"/>
    <col min="2" max="2" width="17" style="4" bestFit="1" customWidth="1"/>
    <col min="3" max="3" width="10.7109375" style="4" customWidth="1"/>
    <col min="4" max="4" width="8.85546875" style="4" bestFit="1" customWidth="1"/>
    <col min="5" max="5" width="15.5703125" style="4" customWidth="1"/>
    <col min="6" max="6" width="16.85546875" style="4" customWidth="1"/>
    <col min="7" max="7" width="15.5703125" style="4" customWidth="1"/>
    <col min="8" max="8" width="10" style="4" bestFit="1" customWidth="1"/>
    <col min="9" max="9" width="8.7109375" style="4" customWidth="1"/>
    <col min="10" max="10" width="22.28515625" style="4" bestFit="1" customWidth="1"/>
    <col min="11" max="11" width="9.28515625" style="4" bestFit="1" customWidth="1"/>
    <col min="12" max="14" width="9.28515625" style="4" customWidth="1"/>
    <col min="15" max="15" width="22.5703125" style="4" customWidth="1"/>
    <col min="16" max="16" width="17" style="4" bestFit="1" customWidth="1"/>
    <col min="17" max="18" width="15.85546875" style="4" customWidth="1"/>
    <col min="19" max="16384" width="9.140625" style="4"/>
  </cols>
  <sheetData>
    <row r="1" spans="1:16" s="7" customFormat="1" ht="48.75" customHeight="1" x14ac:dyDescent="0.25">
      <c r="A1" s="7" t="s">
        <v>93</v>
      </c>
    </row>
    <row r="3" spans="1:16" x14ac:dyDescent="0.3">
      <c r="B3" s="20" t="s">
        <v>111</v>
      </c>
      <c r="C3" s="10" t="s">
        <v>155</v>
      </c>
      <c r="D3" s="11"/>
      <c r="E3" s="11"/>
      <c r="F3" s="11"/>
      <c r="G3" s="11"/>
    </row>
    <row r="4" spans="1:16" x14ac:dyDescent="0.3">
      <c r="B4" s="20" t="s">
        <v>111</v>
      </c>
      <c r="C4" s="10" t="s">
        <v>169</v>
      </c>
      <c r="D4" s="42"/>
      <c r="E4" s="42"/>
      <c r="F4" s="42"/>
      <c r="G4" s="42"/>
    </row>
    <row r="5" spans="1:16" x14ac:dyDescent="0.3">
      <c r="B5" s="20" t="s">
        <v>111</v>
      </c>
      <c r="C5" s="10" t="s">
        <v>166</v>
      </c>
      <c r="D5" s="42"/>
      <c r="E5" s="42"/>
      <c r="F5" s="42"/>
      <c r="G5" s="42"/>
    </row>
    <row r="6" spans="1:16" x14ac:dyDescent="0.3">
      <c r="B6" s="20" t="s">
        <v>111</v>
      </c>
      <c r="C6" s="10" t="s">
        <v>163</v>
      </c>
      <c r="D6" s="42"/>
      <c r="E6" s="42"/>
      <c r="F6" s="42"/>
      <c r="G6" s="42"/>
    </row>
    <row r="7" spans="1:16" x14ac:dyDescent="0.3">
      <c r="B7" s="20" t="s">
        <v>111</v>
      </c>
      <c r="C7" s="10" t="s">
        <v>156</v>
      </c>
      <c r="D7" s="42"/>
      <c r="E7" s="42"/>
      <c r="F7" s="42"/>
      <c r="G7" s="42"/>
    </row>
    <row r="8" spans="1:16" x14ac:dyDescent="0.3">
      <c r="H8" s="21"/>
      <c r="J8"/>
      <c r="K8"/>
      <c r="L8"/>
      <c r="M8"/>
      <c r="N8"/>
      <c r="O8"/>
      <c r="P8"/>
    </row>
    <row r="9" spans="1:16" x14ac:dyDescent="0.3">
      <c r="B9" s="43" t="s">
        <v>157</v>
      </c>
      <c r="C9" s="44" t="s">
        <v>158</v>
      </c>
      <c r="D9" s="44" t="s">
        <v>159</v>
      </c>
      <c r="E9" s="45" t="s">
        <v>160</v>
      </c>
      <c r="F9" s="45" t="s">
        <v>161</v>
      </c>
      <c r="G9" s="45" t="s">
        <v>162</v>
      </c>
      <c r="H9" s="28"/>
      <c r="I9" s="28"/>
      <c r="J9"/>
      <c r="K9"/>
      <c r="L9"/>
      <c r="M9"/>
      <c r="N9"/>
      <c r="O9"/>
      <c r="P9"/>
    </row>
    <row r="10" spans="1:16" x14ac:dyDescent="0.3">
      <c r="B10" s="46">
        <v>44932</v>
      </c>
      <c r="C10" s="24" t="s">
        <v>164</v>
      </c>
      <c r="D10" s="24" t="s">
        <v>165</v>
      </c>
      <c r="E10" s="24">
        <v>8</v>
      </c>
      <c r="F10" s="31">
        <v>389</v>
      </c>
      <c r="G10" s="31">
        <f>E10*F10</f>
        <v>3112</v>
      </c>
      <c r="H10" s="28"/>
      <c r="I10" s="28"/>
    </row>
    <row r="11" spans="1:16" x14ac:dyDescent="0.3">
      <c r="B11" s="46">
        <v>44966</v>
      </c>
      <c r="C11" s="24" t="s">
        <v>167</v>
      </c>
      <c r="D11" s="24" t="s">
        <v>168</v>
      </c>
      <c r="E11" s="24">
        <v>10</v>
      </c>
      <c r="F11" s="31">
        <v>385</v>
      </c>
      <c r="G11" s="31">
        <f t="shared" ref="G11:G15" si="0">E11*F11</f>
        <v>3850</v>
      </c>
      <c r="H11" s="28"/>
      <c r="I11" s="28"/>
    </row>
    <row r="12" spans="1:16" x14ac:dyDescent="0.3">
      <c r="B12" s="46">
        <v>45000</v>
      </c>
      <c r="C12" s="24" t="s">
        <v>170</v>
      </c>
      <c r="D12" s="24" t="s">
        <v>168</v>
      </c>
      <c r="E12" s="24">
        <v>3</v>
      </c>
      <c r="F12" s="31">
        <v>771</v>
      </c>
      <c r="G12" s="31">
        <f t="shared" si="0"/>
        <v>2313</v>
      </c>
      <c r="H12" s="28"/>
      <c r="I12" s="28"/>
      <c r="J12" s="21"/>
      <c r="K12" s="21"/>
      <c r="L12" s="21"/>
      <c r="M12" s="21"/>
      <c r="N12" s="21"/>
      <c r="O12" s="21"/>
    </row>
    <row r="13" spans="1:16" x14ac:dyDescent="0.3">
      <c r="B13" s="46">
        <v>45034</v>
      </c>
      <c r="C13" s="24" t="s">
        <v>171</v>
      </c>
      <c r="D13" s="24" t="s">
        <v>172</v>
      </c>
      <c r="E13" s="24">
        <v>5</v>
      </c>
      <c r="F13" s="31">
        <v>313</v>
      </c>
      <c r="G13" s="31">
        <f t="shared" si="0"/>
        <v>1565</v>
      </c>
      <c r="H13" s="28"/>
      <c r="I13" s="28"/>
      <c r="J13" s="21"/>
      <c r="K13" s="21"/>
      <c r="L13" s="21"/>
      <c r="M13" s="21"/>
      <c r="N13" s="21"/>
      <c r="O13" s="21"/>
    </row>
    <row r="14" spans="1:16" x14ac:dyDescent="0.3">
      <c r="B14" s="46">
        <v>45051</v>
      </c>
      <c r="C14" s="24" t="s">
        <v>173</v>
      </c>
      <c r="D14" s="24" t="s">
        <v>174</v>
      </c>
      <c r="E14" s="24">
        <v>10</v>
      </c>
      <c r="F14" s="31">
        <v>574</v>
      </c>
      <c r="G14" s="31">
        <f t="shared" si="0"/>
        <v>5740</v>
      </c>
      <c r="H14" s="28"/>
      <c r="I14" s="28"/>
      <c r="J14" s="31"/>
      <c r="K14" s="21"/>
      <c r="L14" s="21"/>
      <c r="M14" s="21"/>
      <c r="N14" s="21"/>
      <c r="O14" s="21"/>
    </row>
    <row r="15" spans="1:16" x14ac:dyDescent="0.3">
      <c r="B15" s="46">
        <v>45068</v>
      </c>
      <c r="C15" s="24" t="s">
        <v>164</v>
      </c>
      <c r="D15" s="24" t="s">
        <v>172</v>
      </c>
      <c r="E15" s="24">
        <v>8</v>
      </c>
      <c r="F15" s="31">
        <v>730</v>
      </c>
      <c r="G15" s="31">
        <f t="shared" si="0"/>
        <v>5840</v>
      </c>
      <c r="H15" s="28"/>
      <c r="I15" s="28"/>
      <c r="J15" s="31"/>
      <c r="K15" s="21"/>
      <c r="L15" s="21"/>
      <c r="M15" s="21"/>
      <c r="N15" s="21"/>
      <c r="O15" s="21"/>
    </row>
    <row r="16" spans="1:16" x14ac:dyDescent="0.3">
      <c r="B16" s="46"/>
      <c r="C16" s="24"/>
      <c r="D16" s="47" t="s">
        <v>151</v>
      </c>
      <c r="E16" s="48">
        <f>SUM(E10:E15)</f>
        <v>44</v>
      </c>
      <c r="F16" s="48"/>
      <c r="G16" s="48">
        <f>SUM(G10:G15)</f>
        <v>22420</v>
      </c>
      <c r="H16" s="28"/>
      <c r="I16" s="31"/>
      <c r="J16" s="31"/>
      <c r="K16" s="21"/>
      <c r="L16" s="21"/>
      <c r="M16" s="21"/>
      <c r="N16" s="21"/>
      <c r="O16" s="21"/>
    </row>
    <row r="17" spans="2:15" x14ac:dyDescent="0.3">
      <c r="B17" s="46"/>
      <c r="C17" s="24"/>
      <c r="D17" s="24"/>
      <c r="E17" s="24"/>
      <c r="F17" s="31"/>
      <c r="G17" s="31"/>
      <c r="H17" s="28"/>
      <c r="I17" s="31"/>
      <c r="J17" s="31"/>
      <c r="K17" s="21"/>
      <c r="L17" s="21"/>
      <c r="M17" s="21"/>
      <c r="N17" s="21"/>
      <c r="O17" s="21"/>
    </row>
    <row r="18" spans="2:15" x14ac:dyDescent="0.3">
      <c r="B18" s="46"/>
      <c r="C18" s="24"/>
      <c r="D18" s="24"/>
      <c r="E18" s="31"/>
      <c r="F18" s="31"/>
      <c r="G18" s="31"/>
      <c r="H18" s="31"/>
      <c r="I18" s="31"/>
      <c r="J18" s="31"/>
      <c r="K18" s="21"/>
      <c r="L18" s="21"/>
      <c r="M18" s="21"/>
      <c r="N18" s="21"/>
      <c r="O18" s="21"/>
    </row>
    <row r="19" spans="2:15" x14ac:dyDescent="0.3">
      <c r="B19" s="49" t="s">
        <v>94</v>
      </c>
      <c r="C19" s="49"/>
      <c r="D19" s="50" t="s">
        <v>175</v>
      </c>
      <c r="E19" s="51" t="s">
        <v>164</v>
      </c>
      <c r="F19" s="44" t="s">
        <v>159</v>
      </c>
      <c r="G19" s="45" t="s">
        <v>162</v>
      </c>
      <c r="H19" s="31"/>
      <c r="I19" s="31"/>
      <c r="J19" s="31"/>
      <c r="K19" s="21"/>
      <c r="L19" s="21"/>
      <c r="M19" s="21"/>
      <c r="N19" s="21"/>
      <c r="O19" s="21"/>
    </row>
    <row r="20" spans="2:15" x14ac:dyDescent="0.3">
      <c r="B20" s="46"/>
      <c r="C20" s="24"/>
      <c r="D20" s="24"/>
      <c r="E20" s="24"/>
      <c r="F20" s="24" t="s">
        <v>165</v>
      </c>
      <c r="G20" s="31">
        <f>SUMIFS(G$10:G$15,$C$10:$C$15,$E$19,$D$10:$D$15,$F20)</f>
        <v>3112</v>
      </c>
      <c r="H20" s="31"/>
      <c r="I20" s="31"/>
      <c r="J20" s="31"/>
      <c r="K20" s="21"/>
      <c r="L20" s="21"/>
      <c r="M20" s="21"/>
      <c r="N20" s="21"/>
      <c r="O20" s="21"/>
    </row>
    <row r="21" spans="2:15" x14ac:dyDescent="0.3">
      <c r="B21" s="46"/>
      <c r="C21" s="24"/>
      <c r="D21" s="24"/>
      <c r="E21" s="24"/>
      <c r="F21" s="24" t="s">
        <v>168</v>
      </c>
      <c r="G21" s="31">
        <f t="shared" ref="G21:G23" si="1">SUMIFS(G$10:G$15,$C$10:$C$15,$E$19,$D$10:$D$15,$F21)</f>
        <v>0</v>
      </c>
      <c r="H21" s="31"/>
      <c r="I21" s="31"/>
      <c r="J21" s="31"/>
      <c r="K21" s="21"/>
      <c r="L21" s="21"/>
      <c r="M21" s="21"/>
      <c r="N21" s="21"/>
      <c r="O21" s="21"/>
    </row>
    <row r="22" spans="2:15" x14ac:dyDescent="0.3">
      <c r="B22" s="46"/>
      <c r="C22" s="24"/>
      <c r="D22" s="24"/>
      <c r="E22" s="24"/>
      <c r="F22" s="24" t="s">
        <v>172</v>
      </c>
      <c r="G22" s="31">
        <f t="shared" si="1"/>
        <v>5840</v>
      </c>
      <c r="H22" s="31"/>
      <c r="I22" s="31"/>
      <c r="J22" s="31"/>
      <c r="K22" s="21"/>
      <c r="L22" s="21"/>
      <c r="M22" s="21"/>
      <c r="N22" s="21"/>
      <c r="O22" s="21"/>
    </row>
    <row r="23" spans="2:15" x14ac:dyDescent="0.3">
      <c r="B23" s="46"/>
      <c r="C23" s="24"/>
      <c r="D23" s="24"/>
      <c r="E23" s="24"/>
      <c r="F23" s="24" t="s">
        <v>174</v>
      </c>
      <c r="G23" s="31">
        <f t="shared" si="1"/>
        <v>0</v>
      </c>
      <c r="H23" s="31"/>
      <c r="I23" s="31"/>
      <c r="J23" s="31"/>
      <c r="K23" s="21"/>
      <c r="L23" s="21"/>
      <c r="M23" s="21"/>
      <c r="N23" s="21"/>
      <c r="O23" s="21"/>
    </row>
    <row r="24" spans="2:15" x14ac:dyDescent="0.3">
      <c r="B24" s="46"/>
      <c r="C24" s="24"/>
      <c r="D24" s="24"/>
      <c r="E24" s="24"/>
      <c r="F24" s="31"/>
      <c r="G24" s="48">
        <f t="shared" ref="G24" si="2">SUM(G20:G23)</f>
        <v>8952</v>
      </c>
      <c r="H24" s="31"/>
      <c r="I24" s="31"/>
      <c r="J24" s="31"/>
      <c r="K24" s="21"/>
      <c r="L24" s="21"/>
      <c r="M24" s="21"/>
      <c r="N24" s="21"/>
      <c r="O24" s="21"/>
    </row>
    <row r="25" spans="2:15" x14ac:dyDescent="0.3">
      <c r="B25" s="46"/>
      <c r="C25" s="24"/>
      <c r="D25" s="24"/>
      <c r="E25" s="24"/>
      <c r="F25" s="31"/>
      <c r="G25" s="31"/>
      <c r="H25" s="31"/>
      <c r="I25" s="31"/>
      <c r="J25" s="31"/>
      <c r="K25" s="21"/>
      <c r="L25" s="21"/>
      <c r="M25" s="21"/>
      <c r="N25" s="21"/>
      <c r="O25" s="21"/>
    </row>
    <row r="26" spans="2:15" x14ac:dyDescent="0.3">
      <c r="B26" s="46"/>
      <c r="C26" s="24"/>
      <c r="D26" s="24"/>
      <c r="E26" s="24"/>
      <c r="F26" s="31"/>
      <c r="G26" s="31"/>
      <c r="H26" s="31"/>
      <c r="I26" s="31"/>
      <c r="J26" s="31"/>
      <c r="K26" s="21"/>
      <c r="L26" s="21"/>
      <c r="M26" s="21"/>
      <c r="N26" s="21"/>
      <c r="O26" s="21"/>
    </row>
    <row r="27" spans="2:15" x14ac:dyDescent="0.3">
      <c r="B27" s="46"/>
      <c r="C27" s="24"/>
      <c r="D27" s="24"/>
      <c r="E27" s="24"/>
      <c r="F27" s="31"/>
      <c r="G27" s="31"/>
      <c r="H27" s="31"/>
      <c r="I27" s="31"/>
      <c r="J27" s="31"/>
      <c r="K27" s="21"/>
      <c r="L27" s="21"/>
      <c r="M27" s="21"/>
      <c r="N27" s="21"/>
      <c r="O27" s="21"/>
    </row>
  </sheetData>
  <dataValidations count="1">
    <dataValidation type="list" allowBlank="1" showInputMessage="1" showErrorMessage="1" sqref="E19" xr:uid="{E0E56DCA-26A9-45CF-AAA9-4F581786AF43}">
      <formula1>"Central, East, North, South, West"</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4780-2CA0-457A-A15F-E6077DC62829}">
  <dimension ref="A1:S86"/>
  <sheetViews>
    <sheetView showGridLines="0" workbookViewId="0">
      <selection activeCell="A2" sqref="A2"/>
    </sheetView>
  </sheetViews>
  <sheetFormatPr defaultRowHeight="16.5" x14ac:dyDescent="0.3"/>
  <cols>
    <col min="1" max="1" width="3.42578125" style="4" customWidth="1"/>
    <col min="2" max="2" width="14.140625" style="4" customWidth="1"/>
    <col min="3" max="3" width="14" style="4" customWidth="1"/>
    <col min="4" max="5" width="10.7109375" style="4" customWidth="1"/>
    <col min="6" max="6" width="16.85546875" style="4" customWidth="1"/>
    <col min="7" max="7" width="7"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4" s="7" customFormat="1" ht="48.75" customHeight="1" x14ac:dyDescent="0.25">
      <c r="A1" s="7" t="s">
        <v>278</v>
      </c>
    </row>
    <row r="4" spans="1:14" s="35" customFormat="1" ht="18.75" x14ac:dyDescent="0.3">
      <c r="A4" s="34" t="s">
        <v>110</v>
      </c>
      <c r="B4" s="33"/>
      <c r="C4" s="33"/>
      <c r="D4" s="33"/>
      <c r="E4" s="33"/>
      <c r="F4" s="33"/>
      <c r="G4" s="33"/>
      <c r="H4" s="33"/>
      <c r="I4" s="33"/>
      <c r="J4" s="33"/>
      <c r="K4" s="33"/>
      <c r="L4" s="33"/>
      <c r="M4" s="33"/>
      <c r="N4" s="33"/>
    </row>
    <row r="5" spans="1:14" x14ac:dyDescent="0.3">
      <c r="A5"/>
      <c r="K5"/>
      <c r="L5"/>
      <c r="M5"/>
      <c r="N5"/>
    </row>
    <row r="6" spans="1:14" x14ac:dyDescent="0.3">
      <c r="A6"/>
      <c r="B6" s="9" t="s">
        <v>111</v>
      </c>
      <c r="C6" s="10" t="s">
        <v>112</v>
      </c>
      <c r="D6" s="11"/>
      <c r="E6" s="11"/>
      <c r="F6" s="11"/>
      <c r="G6" s="11"/>
      <c r="H6" s="11"/>
      <c r="K6"/>
      <c r="L6"/>
      <c r="M6"/>
      <c r="N6"/>
    </row>
    <row r="7" spans="1:14" x14ac:dyDescent="0.3">
      <c r="A7"/>
      <c r="K7"/>
      <c r="L7"/>
      <c r="M7"/>
      <c r="N7"/>
    </row>
    <row r="8" spans="1:14" x14ac:dyDescent="0.3">
      <c r="A8"/>
      <c r="B8" s="12" t="s">
        <v>113</v>
      </c>
      <c r="K8"/>
      <c r="L8"/>
      <c r="M8"/>
      <c r="N8"/>
    </row>
    <row r="9" spans="1:14" x14ac:dyDescent="0.3">
      <c r="A9"/>
      <c r="K9"/>
      <c r="L9"/>
      <c r="M9"/>
      <c r="N9"/>
    </row>
    <row r="10" spans="1:14" x14ac:dyDescent="0.3">
      <c r="A10"/>
      <c r="B10" s="4" t="s">
        <v>114</v>
      </c>
      <c r="C10" s="13" t="s">
        <v>115</v>
      </c>
      <c r="D10" s="13" t="s">
        <v>116</v>
      </c>
      <c r="F10" s="14" t="s">
        <v>117</v>
      </c>
      <c r="G10" s="15"/>
      <c r="H10" s="15"/>
      <c r="I10" s="14"/>
      <c r="J10" s="14"/>
      <c r="K10"/>
      <c r="L10"/>
      <c r="M10"/>
      <c r="N10"/>
    </row>
    <row r="11" spans="1:14" x14ac:dyDescent="0.3">
      <c r="A11"/>
      <c r="B11" s="4" t="s">
        <v>118</v>
      </c>
      <c r="C11" s="16">
        <v>44834</v>
      </c>
      <c r="D11" s="4" t="str">
        <f ca="1">IF(TODAY()-Table15[[#This Row],[Loan Date]]&gt;=90,"Due","Not Due")</f>
        <v>Due</v>
      </c>
      <c r="F11" s="4" t="str">
        <f ca="1">_xlfn.FORMULATEXT(Table15[[#This Row],[Status]])</f>
        <v>=IF(TODAY()-[@[Loan Date]]&gt;=90,"Due","Not Due")</v>
      </c>
      <c r="G11"/>
      <c r="H11"/>
      <c r="K11"/>
      <c r="L11" s="17"/>
      <c r="M11"/>
      <c r="N11"/>
    </row>
    <row r="12" spans="1:14" x14ac:dyDescent="0.3">
      <c r="A12"/>
      <c r="B12" s="4" t="s">
        <v>119</v>
      </c>
      <c r="C12" s="16">
        <v>44814</v>
      </c>
      <c r="D12" s="4" t="str">
        <f ca="1">IF(TODAY()-Table15[[#This Row],[Loan Date]]&gt;=90,"Due","Not Due")</f>
        <v>Due</v>
      </c>
      <c r="G12"/>
      <c r="H12"/>
      <c r="K12"/>
      <c r="L12" s="17"/>
      <c r="M12"/>
      <c r="N12"/>
    </row>
    <row r="13" spans="1:14" x14ac:dyDescent="0.3">
      <c r="A13"/>
      <c r="B13" s="4" t="s">
        <v>120</v>
      </c>
      <c r="C13" s="16">
        <v>45051</v>
      </c>
      <c r="D13" s="4" t="str">
        <f ca="1">IF(TODAY()-Table15[[#This Row],[Loan Date]]&gt;=90,"Due","Not Due")</f>
        <v>Due</v>
      </c>
      <c r="G13"/>
      <c r="H13"/>
      <c r="K13"/>
      <c r="L13" s="17"/>
      <c r="M13"/>
      <c r="N13"/>
    </row>
    <row r="14" spans="1:14" x14ac:dyDescent="0.3">
      <c r="A14"/>
      <c r="B14" s="4" t="s">
        <v>121</v>
      </c>
      <c r="C14" s="16">
        <v>44616</v>
      </c>
      <c r="D14" s="4" t="str">
        <f ca="1">IF(TODAY()-Table15[[#This Row],[Loan Date]]&gt;=90,"Due","Not Due")</f>
        <v>Due</v>
      </c>
      <c r="G14"/>
      <c r="H14"/>
      <c r="K14"/>
      <c r="L14" s="17"/>
      <c r="M14"/>
      <c r="N14"/>
    </row>
    <row r="15" spans="1:14" x14ac:dyDescent="0.3">
      <c r="A15"/>
      <c r="B15" s="4" t="s">
        <v>122</v>
      </c>
      <c r="C15" s="16">
        <v>44653</v>
      </c>
      <c r="D15" s="4" t="str">
        <f ca="1">IF(TODAY()-Table15[[#This Row],[Loan Date]]&gt;=90,"Due","Not Due")</f>
        <v>Due</v>
      </c>
      <c r="G15"/>
      <c r="H15"/>
      <c r="K15"/>
      <c r="L15" s="17"/>
      <c r="M15"/>
      <c r="N15"/>
    </row>
    <row r="16" spans="1:14" x14ac:dyDescent="0.3">
      <c r="A16"/>
      <c r="B16"/>
      <c r="C16"/>
      <c r="D16"/>
      <c r="E16"/>
      <c r="F16"/>
      <c r="G16"/>
      <c r="H16"/>
      <c r="I16"/>
      <c r="J16"/>
      <c r="K16"/>
      <c r="L16"/>
      <c r="M16"/>
      <c r="N16"/>
    </row>
    <row r="17" spans="1:14" x14ac:dyDescent="0.3">
      <c r="A17"/>
      <c r="B17"/>
      <c r="C17"/>
      <c r="D17"/>
      <c r="E17"/>
      <c r="F17"/>
      <c r="G17"/>
      <c r="H17"/>
      <c r="I17"/>
      <c r="J17"/>
      <c r="K17"/>
      <c r="L17"/>
      <c r="M17"/>
      <c r="N17"/>
    </row>
    <row r="18" spans="1:14" s="35" customFormat="1" ht="18.75" x14ac:dyDescent="0.3">
      <c r="A18" s="34" t="s">
        <v>123</v>
      </c>
      <c r="B18" s="33"/>
      <c r="C18" s="33"/>
      <c r="D18" s="33"/>
      <c r="E18" s="33"/>
      <c r="F18" s="33"/>
      <c r="G18" s="33"/>
      <c r="H18" s="33"/>
      <c r="I18" s="33"/>
      <c r="J18" s="33"/>
      <c r="K18" s="33"/>
      <c r="L18" s="33"/>
      <c r="M18" s="33"/>
      <c r="N18" s="33"/>
    </row>
    <row r="19" spans="1:14" x14ac:dyDescent="0.3">
      <c r="A19"/>
      <c r="B19"/>
      <c r="C19"/>
      <c r="D19"/>
      <c r="E19"/>
      <c r="F19"/>
      <c r="G19"/>
      <c r="H19"/>
      <c r="I19"/>
      <c r="J19"/>
      <c r="K19"/>
      <c r="L19"/>
      <c r="M19"/>
      <c r="N19"/>
    </row>
    <row r="20" spans="1:14" x14ac:dyDescent="0.3">
      <c r="A20"/>
      <c r="B20" s="9" t="s">
        <v>111</v>
      </c>
      <c r="C20" s="10" t="s">
        <v>124</v>
      </c>
      <c r="D20" s="11"/>
      <c r="E20" s="11"/>
      <c r="F20" s="11"/>
      <c r="G20" s="11"/>
      <c r="H20" s="11"/>
      <c r="I20" s="11"/>
      <c r="J20" s="11"/>
      <c r="K20" s="18"/>
      <c r="L20"/>
      <c r="M20"/>
      <c r="N20"/>
    </row>
    <row r="21" spans="1:14" x14ac:dyDescent="0.3">
      <c r="A21"/>
      <c r="B21"/>
      <c r="C21"/>
      <c r="D21"/>
      <c r="E21"/>
      <c r="F21"/>
      <c r="G21"/>
      <c r="H21"/>
      <c r="I21"/>
      <c r="J21"/>
      <c r="K21"/>
      <c r="L21"/>
      <c r="M21"/>
      <c r="N21"/>
    </row>
    <row r="22" spans="1:14" x14ac:dyDescent="0.3">
      <c r="A22"/>
      <c r="B22" s="12" t="s">
        <v>125</v>
      </c>
      <c r="K22"/>
      <c r="L22"/>
      <c r="M22"/>
      <c r="N22"/>
    </row>
    <row r="23" spans="1:14" x14ac:dyDescent="0.3">
      <c r="A23"/>
      <c r="K23"/>
      <c r="L23"/>
      <c r="M23"/>
      <c r="N23"/>
    </row>
    <row r="24" spans="1:14" x14ac:dyDescent="0.3">
      <c r="A24"/>
      <c r="B24" s="4" t="s">
        <v>114</v>
      </c>
      <c r="C24" s="13" t="s">
        <v>115</v>
      </c>
      <c r="D24" s="13" t="s">
        <v>116</v>
      </c>
      <c r="E24" s="13"/>
      <c r="F24" s="14" t="s">
        <v>126</v>
      </c>
      <c r="G24" s="14"/>
      <c r="H24" s="14"/>
      <c r="I24" s="14"/>
      <c r="J24" s="14"/>
      <c r="K24" s="14"/>
      <c r="L24" s="14"/>
      <c r="M24" s="14"/>
      <c r="N24"/>
    </row>
    <row r="25" spans="1:14" x14ac:dyDescent="0.3">
      <c r="A25"/>
      <c r="B25" s="4" t="s">
        <v>118</v>
      </c>
      <c r="C25" s="16">
        <v>44834</v>
      </c>
      <c r="D25" s="4" t="str">
        <f ca="1">IF(TODAY()-Table2[[#This Row],[Loan Date]]&gt;90,"Overdue",IF(TODAY()-Table2[[#This Row],[Loan Date]]=90,"Due","Not Due"))</f>
        <v>Overdue</v>
      </c>
      <c r="F25" s="4" t="str">
        <f ca="1">_xlfn.FORMULATEXT(Table2[[#This Row],[Status]])</f>
        <v>=IF(TODAY()-[@[Loan Date]]&gt;90,"Overdue",IF(TODAY()-[@[Loan Date]]=90,"Due","Not Due"))</v>
      </c>
      <c r="K25"/>
      <c r="L25" s="17"/>
      <c r="M25"/>
      <c r="N25"/>
    </row>
    <row r="26" spans="1:14" x14ac:dyDescent="0.3">
      <c r="A26"/>
      <c r="B26" s="4" t="s">
        <v>119</v>
      </c>
      <c r="C26" s="16">
        <v>44814</v>
      </c>
      <c r="D26" s="4" t="str">
        <f ca="1">IF(TODAY()-Table2[[#This Row],[Loan Date]]&gt;90,"Overdue",IF(TODAY()-Table2[[#This Row],[Loan Date]]=90,"Due","Not Due"))</f>
        <v>Overdue</v>
      </c>
      <c r="K26"/>
      <c r="L26" s="17"/>
      <c r="M26"/>
      <c r="N26"/>
    </row>
    <row r="27" spans="1:14" x14ac:dyDescent="0.3">
      <c r="A27"/>
      <c r="B27" s="4" t="s">
        <v>120</v>
      </c>
      <c r="C27" s="16">
        <v>45051</v>
      </c>
      <c r="D27" s="4" t="str">
        <f ca="1">IF(TODAY()-Table2[[#This Row],[Loan Date]]&gt;90,"Overdue",IF(TODAY()-Table2[[#This Row],[Loan Date]]=90,"Due","Not Due"))</f>
        <v>Overdue</v>
      </c>
      <c r="K27"/>
      <c r="L27" s="17"/>
      <c r="M27"/>
      <c r="N27"/>
    </row>
    <row r="28" spans="1:14" x14ac:dyDescent="0.3">
      <c r="A28"/>
      <c r="B28" s="4" t="s">
        <v>121</v>
      </c>
      <c r="C28" s="16">
        <v>44616</v>
      </c>
      <c r="D28" s="4" t="str">
        <f ca="1">IF(TODAY()-Table2[[#This Row],[Loan Date]]&gt;90,"Overdue",IF(TODAY()-Table2[[#This Row],[Loan Date]]=90,"Due","Not Due"))</f>
        <v>Overdue</v>
      </c>
      <c r="K28"/>
      <c r="L28" s="17"/>
      <c r="M28"/>
      <c r="N28"/>
    </row>
    <row r="29" spans="1:14" x14ac:dyDescent="0.3">
      <c r="A29"/>
      <c r="B29" s="4" t="s">
        <v>122</v>
      </c>
      <c r="C29" s="16">
        <v>44653</v>
      </c>
      <c r="D29" s="4" t="str">
        <f ca="1">IF(TODAY()-Table2[[#This Row],[Loan Date]]&gt;90,"Overdue",IF(TODAY()-Table2[[#This Row],[Loan Date]]=90,"Due","Not Due"))</f>
        <v>Overdue</v>
      </c>
      <c r="K29"/>
      <c r="L29" s="17"/>
      <c r="M29"/>
      <c r="N29"/>
    </row>
    <row r="30" spans="1:14" x14ac:dyDescent="0.3">
      <c r="A30"/>
      <c r="B30"/>
      <c r="C30"/>
      <c r="D30"/>
      <c r="E30"/>
      <c r="F30"/>
      <c r="G30"/>
      <c r="H30"/>
      <c r="I30"/>
      <c r="J30"/>
      <c r="K30"/>
      <c r="L30"/>
      <c r="M30"/>
      <c r="N30"/>
    </row>
    <row r="31" spans="1:14" x14ac:dyDescent="0.3">
      <c r="A31"/>
      <c r="B31"/>
      <c r="C31"/>
      <c r="D31"/>
      <c r="E31"/>
      <c r="F31"/>
      <c r="G31"/>
      <c r="H31"/>
      <c r="I31"/>
      <c r="J31"/>
      <c r="K31"/>
      <c r="L31"/>
      <c r="M31"/>
      <c r="N31"/>
    </row>
    <row r="32" spans="1:14" s="35" customFormat="1" ht="18.75" x14ac:dyDescent="0.3">
      <c r="A32" s="34" t="s">
        <v>127</v>
      </c>
      <c r="B32" s="33"/>
      <c r="C32" s="33"/>
      <c r="D32" s="33"/>
      <c r="E32" s="33"/>
      <c r="F32" s="33"/>
      <c r="G32" s="33"/>
      <c r="H32" s="33"/>
      <c r="I32" s="33"/>
      <c r="J32" s="33"/>
      <c r="K32" s="33"/>
      <c r="L32" s="33"/>
      <c r="M32" s="33"/>
      <c r="N32" s="33"/>
    </row>
    <row r="33" spans="1:14" x14ac:dyDescent="0.3">
      <c r="A33"/>
      <c r="B33"/>
      <c r="C33"/>
      <c r="D33"/>
      <c r="E33"/>
      <c r="F33"/>
      <c r="G33"/>
      <c r="H33"/>
      <c r="I33"/>
      <c r="J33"/>
      <c r="K33"/>
      <c r="L33"/>
      <c r="M33"/>
      <c r="N33"/>
    </row>
    <row r="34" spans="1:14" x14ac:dyDescent="0.3">
      <c r="A34"/>
      <c r="B34" s="9" t="s">
        <v>111</v>
      </c>
      <c r="C34" s="10" t="s">
        <v>128</v>
      </c>
      <c r="D34" s="11"/>
      <c r="E34" s="11"/>
      <c r="F34" s="11"/>
      <c r="G34" s="11"/>
      <c r="H34" s="11"/>
      <c r="I34" s="11"/>
      <c r="J34"/>
      <c r="K34"/>
      <c r="L34"/>
      <c r="M34"/>
      <c r="N34"/>
    </row>
    <row r="35" spans="1:14" x14ac:dyDescent="0.3">
      <c r="A35"/>
      <c r="B35"/>
      <c r="C35"/>
      <c r="D35"/>
      <c r="E35"/>
      <c r="F35"/>
      <c r="G35"/>
      <c r="H35"/>
      <c r="I35"/>
      <c r="J35"/>
      <c r="K35"/>
      <c r="L35"/>
      <c r="M35"/>
      <c r="N35"/>
    </row>
    <row r="36" spans="1:14" x14ac:dyDescent="0.3">
      <c r="A36"/>
      <c r="B36" s="19" t="s">
        <v>129</v>
      </c>
      <c r="L36"/>
      <c r="M36"/>
      <c r="N36"/>
    </row>
    <row r="37" spans="1:14" x14ac:dyDescent="0.3">
      <c r="A37"/>
      <c r="B37" s="19"/>
      <c r="L37"/>
      <c r="M37"/>
      <c r="N37"/>
    </row>
    <row r="38" spans="1:14" x14ac:dyDescent="0.3">
      <c r="A38"/>
      <c r="B38" s="12" t="s">
        <v>125</v>
      </c>
      <c r="K38"/>
      <c r="L38"/>
      <c r="M38"/>
      <c r="N38"/>
    </row>
    <row r="39" spans="1:14" x14ac:dyDescent="0.3">
      <c r="A39"/>
      <c r="K39"/>
      <c r="L39"/>
      <c r="M39"/>
      <c r="N39"/>
    </row>
    <row r="40" spans="1:14" x14ac:dyDescent="0.3">
      <c r="A40"/>
      <c r="B40" s="4" t="s">
        <v>114</v>
      </c>
      <c r="C40" s="13" t="s">
        <v>115</v>
      </c>
      <c r="D40" s="13" t="s">
        <v>116</v>
      </c>
      <c r="F40" s="14" t="s">
        <v>130</v>
      </c>
      <c r="G40" s="14"/>
      <c r="H40" s="14"/>
      <c r="I40" s="14"/>
      <c r="J40" s="14"/>
      <c r="K40" s="14"/>
      <c r="L40" s="14"/>
      <c r="M40" s="15"/>
      <c r="N40"/>
    </row>
    <row r="41" spans="1:14" x14ac:dyDescent="0.3">
      <c r="A41"/>
      <c r="B41" s="4" t="s">
        <v>118</v>
      </c>
      <c r="C41" s="16">
        <v>44834</v>
      </c>
      <c r="D41" s="4" t="str" cm="1">
        <f t="array" aca="1" ref="D41" ca="1">_xlfn.IFS(TODAY()-Table3[[#This Row],[Loan Date]]&gt;90,"Overdue",TODAY()-Table3[[#This Row],[Loan Date]]=90,"Due",TRUE,"Not Due")</f>
        <v>Overdue</v>
      </c>
      <c r="F41" s="4" t="str">
        <f ca="1">_xlfn.FORMULATEXT(Table3[[#This Row],[Status]])</f>
        <v>=IFS(TODAY()-[@[Loan Date]]&gt;90,"Overdue",TODAY()-[@[Loan Date]]=90,"Due",TRUE,"Not Due")</v>
      </c>
      <c r="K41"/>
      <c r="L41"/>
      <c r="M41"/>
      <c r="N41"/>
    </row>
    <row r="42" spans="1:14" x14ac:dyDescent="0.3">
      <c r="A42"/>
      <c r="B42" s="4" t="s">
        <v>119</v>
      </c>
      <c r="C42" s="16">
        <v>44814</v>
      </c>
      <c r="D42" s="4" t="str" cm="1">
        <f t="array" aca="1" ref="D42" ca="1">_xlfn.IFS(TODAY()-Table3[[#This Row],[Loan Date]]&gt;90,"Overdue",TODAY()-Table3[[#This Row],[Loan Date]]=90,"Due",TRUE,"Not Due")</f>
        <v>Overdue</v>
      </c>
      <c r="K42"/>
      <c r="L42"/>
      <c r="M42"/>
      <c r="N42"/>
    </row>
    <row r="43" spans="1:14" x14ac:dyDescent="0.3">
      <c r="A43"/>
      <c r="B43" s="4" t="s">
        <v>120</v>
      </c>
      <c r="C43" s="16">
        <v>45051</v>
      </c>
      <c r="D43" s="4" t="str" cm="1">
        <f t="array" aca="1" ref="D43" ca="1">_xlfn.IFS(TODAY()-Table3[[#This Row],[Loan Date]]&gt;90,"Overdue",TODAY()-Table3[[#This Row],[Loan Date]]=90,"Due",TRUE,"Not Due")</f>
        <v>Overdue</v>
      </c>
      <c r="K43"/>
      <c r="L43"/>
      <c r="M43"/>
      <c r="N43"/>
    </row>
    <row r="44" spans="1:14" x14ac:dyDescent="0.3">
      <c r="A44"/>
      <c r="B44" s="4" t="s">
        <v>121</v>
      </c>
      <c r="C44" s="16">
        <v>44616</v>
      </c>
      <c r="D44" s="4" t="str" cm="1">
        <f t="array" aca="1" ref="D44" ca="1">_xlfn.IFS(TODAY()-Table3[[#This Row],[Loan Date]]&gt;90,"Overdue",TODAY()-Table3[[#This Row],[Loan Date]]=90,"Due",TRUE,"Not Due")</f>
        <v>Overdue</v>
      </c>
      <c r="K44"/>
      <c r="L44"/>
      <c r="M44"/>
      <c r="N44"/>
    </row>
    <row r="45" spans="1:14" x14ac:dyDescent="0.3">
      <c r="A45"/>
      <c r="B45" s="4" t="s">
        <v>122</v>
      </c>
      <c r="C45" s="16">
        <v>44653</v>
      </c>
      <c r="D45" s="4" t="str" cm="1">
        <f t="array" aca="1" ref="D45" ca="1">_xlfn.IFS(TODAY()-Table3[[#This Row],[Loan Date]]&gt;90,"Overdue",TODAY()-Table3[[#This Row],[Loan Date]]=90,"Due",TRUE,"Not Due")</f>
        <v>Overdue</v>
      </c>
      <c r="K45"/>
      <c r="L45"/>
      <c r="M45"/>
      <c r="N45"/>
    </row>
    <row r="46" spans="1:14" x14ac:dyDescent="0.3">
      <c r="A46"/>
      <c r="B46"/>
      <c r="C46"/>
      <c r="D46"/>
      <c r="E46"/>
      <c r="F46"/>
      <c r="G46"/>
      <c r="H46"/>
      <c r="I46"/>
      <c r="J46"/>
      <c r="K46"/>
      <c r="L46"/>
      <c r="M46"/>
      <c r="N46"/>
    </row>
    <row r="47" spans="1:14" x14ac:dyDescent="0.3">
      <c r="A47"/>
      <c r="B47"/>
      <c r="C47"/>
      <c r="D47"/>
      <c r="E47"/>
      <c r="F47"/>
      <c r="G47"/>
      <c r="H47"/>
      <c r="I47"/>
      <c r="J47"/>
      <c r="K47"/>
      <c r="L47"/>
      <c r="M47"/>
      <c r="N47"/>
    </row>
    <row r="48" spans="1:14" x14ac:dyDescent="0.3">
      <c r="A48"/>
      <c r="B48"/>
      <c r="C48"/>
      <c r="D48"/>
      <c r="E48"/>
      <c r="F48"/>
      <c r="G48"/>
      <c r="H48"/>
      <c r="I48"/>
      <c r="J48"/>
      <c r="K48"/>
      <c r="L48"/>
      <c r="M48"/>
      <c r="N48"/>
    </row>
    <row r="49" spans="1:14" s="36" customFormat="1" ht="18.75" x14ac:dyDescent="0.3">
      <c r="A49" s="34" t="s">
        <v>154</v>
      </c>
    </row>
    <row r="50" spans="1:14" x14ac:dyDescent="0.3">
      <c r="A50"/>
      <c r="B50"/>
      <c r="C50"/>
      <c r="D50"/>
      <c r="E50"/>
      <c r="F50"/>
      <c r="G50"/>
      <c r="H50"/>
      <c r="I50"/>
      <c r="J50"/>
      <c r="K50"/>
      <c r="L50"/>
      <c r="M50"/>
      <c r="N50"/>
    </row>
    <row r="51" spans="1:14" s="21" customFormat="1" ht="20.25" customHeight="1" x14ac:dyDescent="0.3">
      <c r="B51" s="20" t="s">
        <v>111</v>
      </c>
      <c r="C51" s="10" t="s">
        <v>131</v>
      </c>
      <c r="D51" s="11"/>
      <c r="E51" s="11"/>
      <c r="F51" s="11"/>
      <c r="G51" s="11"/>
      <c r="H51" s="11"/>
      <c r="I51" s="11"/>
    </row>
    <row r="52" spans="1:14" s="21" customFormat="1" ht="20.25" customHeight="1" x14ac:dyDescent="0.2"/>
    <row r="53" spans="1:14" s="23" customFormat="1" ht="20.25" customHeight="1" x14ac:dyDescent="0.25">
      <c r="B53" s="37" t="s">
        <v>132</v>
      </c>
      <c r="C53" s="38" t="s">
        <v>133</v>
      </c>
      <c r="D53" s="37" t="s">
        <v>134</v>
      </c>
      <c r="E53" s="37" t="s">
        <v>135</v>
      </c>
      <c r="F53" s="39" t="s">
        <v>136</v>
      </c>
      <c r="G53" s="22"/>
      <c r="H53" s="40" t="s">
        <v>137</v>
      </c>
      <c r="I53" s="41">
        <v>0.1</v>
      </c>
    </row>
    <row r="54" spans="1:14" s="23" customFormat="1" ht="20.25" customHeight="1" x14ac:dyDescent="0.25">
      <c r="B54" s="24" t="s">
        <v>138</v>
      </c>
      <c r="C54" s="25" t="s">
        <v>139</v>
      </c>
      <c r="D54" s="26">
        <v>138</v>
      </c>
      <c r="E54" s="30" t="str">
        <f>IF(AND(C54="Yes",D54&lt;100),D54*$I$53,"Nil")</f>
        <v>Nil</v>
      </c>
      <c r="F54" s="27">
        <f>SUM(D54:E54)</f>
        <v>138</v>
      </c>
      <c r="G54" s="28"/>
      <c r="H54" s="24"/>
      <c r="I54" s="29"/>
    </row>
    <row r="55" spans="1:14" s="23" customFormat="1" ht="20.25" customHeight="1" x14ac:dyDescent="0.25">
      <c r="B55" s="24" t="s">
        <v>140</v>
      </c>
      <c r="C55" s="25" t="s">
        <v>141</v>
      </c>
      <c r="D55" s="26">
        <v>125</v>
      </c>
      <c r="E55" s="30" t="str">
        <f t="shared" ref="E55:E64" si="0">IF(AND(C55="Yes",D55&lt;100),D55*$I$53,"Nil")</f>
        <v>Nil</v>
      </c>
      <c r="F55" s="27">
        <f t="shared" ref="F55:F64" si="1">SUM(D55:E55)</f>
        <v>125</v>
      </c>
      <c r="G55" s="28"/>
      <c r="H55" s="24"/>
    </row>
    <row r="56" spans="1:14" s="23" customFormat="1" ht="20.25" customHeight="1" x14ac:dyDescent="0.25">
      <c r="B56" s="24" t="s">
        <v>142</v>
      </c>
      <c r="C56" s="25" t="s">
        <v>139</v>
      </c>
      <c r="D56" s="26">
        <v>79</v>
      </c>
      <c r="E56" s="30" t="str">
        <f t="shared" si="0"/>
        <v>Nil</v>
      </c>
      <c r="F56" s="27">
        <f t="shared" si="1"/>
        <v>79</v>
      </c>
      <c r="G56" s="28"/>
    </row>
    <row r="57" spans="1:14" s="23" customFormat="1" ht="20.25" customHeight="1" x14ac:dyDescent="0.25">
      <c r="B57" s="24" t="s">
        <v>143</v>
      </c>
      <c r="C57" s="25" t="s">
        <v>141</v>
      </c>
      <c r="D57" s="26">
        <v>57</v>
      </c>
      <c r="E57" s="30">
        <f t="shared" si="0"/>
        <v>5.7</v>
      </c>
      <c r="F57" s="27">
        <f t="shared" si="1"/>
        <v>62.7</v>
      </c>
      <c r="G57" s="28"/>
      <c r="H57" s="24"/>
    </row>
    <row r="58" spans="1:14" s="23" customFormat="1" ht="20.25" customHeight="1" x14ac:dyDescent="0.25">
      <c r="B58" s="24" t="s">
        <v>144</v>
      </c>
      <c r="C58" s="25" t="s">
        <v>139</v>
      </c>
      <c r="D58" s="26">
        <v>91</v>
      </c>
      <c r="E58" s="30" t="str">
        <f t="shared" si="0"/>
        <v>Nil</v>
      </c>
      <c r="F58" s="27">
        <f t="shared" si="1"/>
        <v>91</v>
      </c>
      <c r="G58" s="28"/>
      <c r="H58" s="24"/>
    </row>
    <row r="59" spans="1:14" s="23" customFormat="1" ht="20.25" customHeight="1" x14ac:dyDescent="0.25">
      <c r="B59" s="24" t="s">
        <v>145</v>
      </c>
      <c r="C59" s="25" t="s">
        <v>139</v>
      </c>
      <c r="D59" s="26">
        <v>68</v>
      </c>
      <c r="E59" s="30" t="str">
        <f t="shared" si="0"/>
        <v>Nil</v>
      </c>
      <c r="F59" s="27">
        <f t="shared" si="1"/>
        <v>68</v>
      </c>
      <c r="G59" s="28"/>
      <c r="H59" s="24"/>
    </row>
    <row r="60" spans="1:14" s="23" customFormat="1" ht="20.25" customHeight="1" x14ac:dyDescent="0.25">
      <c r="B60" s="24" t="s">
        <v>146</v>
      </c>
      <c r="C60" s="25" t="s">
        <v>141</v>
      </c>
      <c r="D60" s="26">
        <v>32</v>
      </c>
      <c r="E60" s="30">
        <f t="shared" si="0"/>
        <v>3.2</v>
      </c>
      <c r="F60" s="27">
        <f t="shared" si="1"/>
        <v>35.200000000000003</v>
      </c>
      <c r="G60" s="31"/>
      <c r="H60" s="24"/>
    </row>
    <row r="61" spans="1:14" s="23" customFormat="1" ht="20.25" customHeight="1" x14ac:dyDescent="0.25">
      <c r="B61" s="24" t="s">
        <v>147</v>
      </c>
      <c r="C61" s="25" t="s">
        <v>141</v>
      </c>
      <c r="D61" s="26">
        <v>49</v>
      </c>
      <c r="E61" s="30">
        <f t="shared" si="0"/>
        <v>4.9000000000000004</v>
      </c>
      <c r="F61" s="27">
        <f t="shared" si="1"/>
        <v>53.9</v>
      </c>
      <c r="G61" s="31"/>
    </row>
    <row r="62" spans="1:14" s="21" customFormat="1" ht="20.25" customHeight="1" x14ac:dyDescent="0.25">
      <c r="B62" s="24" t="s">
        <v>148</v>
      </c>
      <c r="C62" s="25" t="s">
        <v>141</v>
      </c>
      <c r="D62" s="26">
        <v>113</v>
      </c>
      <c r="E62" s="30" t="str">
        <f t="shared" si="0"/>
        <v>Nil</v>
      </c>
      <c r="F62" s="27">
        <f t="shared" si="1"/>
        <v>113</v>
      </c>
      <c r="G62" s="31"/>
      <c r="H62" s="31"/>
      <c r="I62" s="23"/>
    </row>
    <row r="63" spans="1:14" s="21" customFormat="1" ht="20.25" customHeight="1" x14ac:dyDescent="0.25">
      <c r="B63" s="24" t="s">
        <v>149</v>
      </c>
      <c r="C63" s="25" t="s">
        <v>139</v>
      </c>
      <c r="D63" s="26">
        <v>83</v>
      </c>
      <c r="E63" s="30" t="str">
        <f t="shared" si="0"/>
        <v>Nil</v>
      </c>
      <c r="F63" s="27">
        <f t="shared" si="1"/>
        <v>83</v>
      </c>
      <c r="G63" s="31"/>
      <c r="H63" s="31"/>
      <c r="I63" s="23"/>
    </row>
    <row r="64" spans="1:14" s="21" customFormat="1" ht="20.25" customHeight="1" x14ac:dyDescent="0.25">
      <c r="B64" s="24" t="s">
        <v>150</v>
      </c>
      <c r="C64" s="25" t="s">
        <v>141</v>
      </c>
      <c r="D64" s="26">
        <v>140</v>
      </c>
      <c r="E64" s="30" t="str">
        <f t="shared" si="0"/>
        <v>Nil</v>
      </c>
      <c r="F64" s="27">
        <f t="shared" si="1"/>
        <v>140</v>
      </c>
      <c r="G64" s="31"/>
      <c r="H64" s="31"/>
      <c r="I64" s="23"/>
    </row>
    <row r="65" spans="1:19" s="21" customFormat="1" ht="20.25" customHeight="1" x14ac:dyDescent="0.25">
      <c r="B65"/>
      <c r="C65"/>
      <c r="D65"/>
      <c r="E65"/>
      <c r="F65"/>
      <c r="G65" s="31"/>
      <c r="H65" s="31"/>
      <c r="I65" s="23"/>
    </row>
    <row r="66" spans="1:19" s="21" customFormat="1" ht="20.25" customHeight="1" x14ac:dyDescent="0.2"/>
    <row r="67" spans="1:19" s="21" customFormat="1" ht="20.25" customHeight="1" x14ac:dyDescent="0.2"/>
    <row r="68" spans="1:19" s="36" customFormat="1" ht="18.75" x14ac:dyDescent="0.3">
      <c r="A68" s="34" t="s">
        <v>152</v>
      </c>
    </row>
    <row r="69" spans="1:19" s="21" customFormat="1" ht="20.25" customHeight="1" x14ac:dyDescent="0.2">
      <c r="A69" s="32"/>
      <c r="B69" s="32"/>
      <c r="D69" s="32"/>
      <c r="J69" s="24"/>
      <c r="K69" s="24"/>
      <c r="L69" s="24"/>
      <c r="M69" s="24"/>
      <c r="N69" s="24"/>
      <c r="O69" s="24"/>
      <c r="P69" s="24"/>
      <c r="Q69" s="24"/>
      <c r="R69" s="24"/>
      <c r="S69" s="24"/>
    </row>
    <row r="70" spans="1:19" s="21" customFormat="1" ht="20.25" customHeight="1" x14ac:dyDescent="0.3">
      <c r="A70" s="32"/>
      <c r="B70" s="20" t="s">
        <v>111</v>
      </c>
      <c r="C70" s="10" t="s">
        <v>153</v>
      </c>
      <c r="D70" s="11"/>
      <c r="E70" s="11"/>
      <c r="F70" s="11"/>
      <c r="G70" s="11"/>
      <c r="H70" s="11"/>
      <c r="I70" s="11"/>
    </row>
    <row r="71" spans="1:19" s="21" customFormat="1" ht="20.25" customHeight="1" x14ac:dyDescent="0.2">
      <c r="A71" s="32"/>
      <c r="B71" s="32"/>
      <c r="D71" s="32"/>
      <c r="J71" s="24"/>
      <c r="K71" s="24"/>
      <c r="L71" s="24"/>
      <c r="M71" s="24"/>
      <c r="N71" s="24"/>
      <c r="O71" s="24"/>
      <c r="P71" s="24"/>
      <c r="Q71" s="24"/>
      <c r="R71" s="24"/>
      <c r="S71" s="24"/>
    </row>
    <row r="72" spans="1:19" s="23" customFormat="1" ht="20.25" customHeight="1" x14ac:dyDescent="0.25">
      <c r="B72" s="37" t="s">
        <v>132</v>
      </c>
      <c r="C72" s="38" t="s">
        <v>133</v>
      </c>
      <c r="D72" s="37" t="s">
        <v>134</v>
      </c>
      <c r="E72" s="37" t="s">
        <v>135</v>
      </c>
      <c r="F72" s="39" t="s">
        <v>136</v>
      </c>
      <c r="G72" s="22"/>
      <c r="H72" s="40" t="s">
        <v>137</v>
      </c>
      <c r="I72" s="41">
        <v>0.1</v>
      </c>
      <c r="J72" s="24"/>
      <c r="K72" s="24"/>
      <c r="L72" s="24"/>
      <c r="M72" s="24"/>
      <c r="N72" s="24"/>
      <c r="O72" s="24"/>
      <c r="P72" s="24"/>
      <c r="Q72" s="24"/>
      <c r="R72" s="24"/>
      <c r="S72" s="24"/>
    </row>
    <row r="73" spans="1:19" s="23" customFormat="1" ht="20.25" customHeight="1" x14ac:dyDescent="0.25">
      <c r="B73" s="24" t="s">
        <v>138</v>
      </c>
      <c r="C73" s="25" t="s">
        <v>139</v>
      </c>
      <c r="D73" s="26">
        <v>138</v>
      </c>
      <c r="E73" s="30" t="str">
        <f>IF(OR(C73="Yes",D73&lt;100),D73*$I$72,"Nil")</f>
        <v>Nil</v>
      </c>
      <c r="F73" s="27">
        <f t="shared" ref="F73:F83" si="2">SUM(D73:E73)</f>
        <v>138</v>
      </c>
      <c r="G73" s="28"/>
      <c r="H73" s="24"/>
      <c r="I73" s="29"/>
      <c r="J73" s="24"/>
      <c r="K73" s="24"/>
      <c r="L73" s="24"/>
      <c r="M73" s="24"/>
      <c r="N73" s="24"/>
      <c r="O73" s="24"/>
      <c r="P73" s="24"/>
      <c r="Q73" s="24"/>
      <c r="R73" s="24"/>
      <c r="S73" s="24"/>
    </row>
    <row r="74" spans="1:19" s="23" customFormat="1" ht="20.25" customHeight="1" x14ac:dyDescent="0.25">
      <c r="B74" s="24" t="s">
        <v>140</v>
      </c>
      <c r="C74" s="25" t="s">
        <v>141</v>
      </c>
      <c r="D74" s="26">
        <v>125</v>
      </c>
      <c r="E74" s="30">
        <f t="shared" ref="E74:E83" si="3">IF(OR(C74="Yes",D74&lt;100),D74*$I$72,"Nil")</f>
        <v>12.5</v>
      </c>
      <c r="F74" s="27">
        <f t="shared" si="2"/>
        <v>137.5</v>
      </c>
      <c r="G74" s="28"/>
      <c r="H74" s="24"/>
      <c r="J74" s="24"/>
      <c r="K74" s="24"/>
      <c r="L74" s="24"/>
      <c r="M74" s="24"/>
      <c r="N74" s="24"/>
      <c r="O74" s="24"/>
      <c r="P74" s="24"/>
      <c r="Q74" s="24"/>
      <c r="R74" s="24"/>
      <c r="S74" s="24"/>
    </row>
    <row r="75" spans="1:19" s="23" customFormat="1" ht="20.25" customHeight="1" x14ac:dyDescent="0.25">
      <c r="B75" s="24" t="s">
        <v>142</v>
      </c>
      <c r="C75" s="25" t="s">
        <v>139</v>
      </c>
      <c r="D75" s="26">
        <v>79</v>
      </c>
      <c r="E75" s="30">
        <f t="shared" si="3"/>
        <v>7.9</v>
      </c>
      <c r="F75" s="27">
        <f t="shared" si="2"/>
        <v>86.9</v>
      </c>
      <c r="G75" s="28"/>
      <c r="H75" s="24"/>
      <c r="J75" s="24"/>
      <c r="K75" s="24"/>
      <c r="L75" s="24"/>
      <c r="M75" s="24"/>
      <c r="N75" s="24"/>
      <c r="O75" s="24"/>
      <c r="P75" s="24"/>
      <c r="Q75" s="24"/>
      <c r="R75" s="24"/>
      <c r="S75" s="24"/>
    </row>
    <row r="76" spans="1:19" s="23" customFormat="1" ht="20.25" customHeight="1" x14ac:dyDescent="0.25">
      <c r="B76" s="24" t="s">
        <v>143</v>
      </c>
      <c r="C76" s="25" t="s">
        <v>141</v>
      </c>
      <c r="D76" s="26">
        <v>57</v>
      </c>
      <c r="E76" s="30">
        <f t="shared" si="3"/>
        <v>5.7</v>
      </c>
      <c r="F76" s="27">
        <f t="shared" si="2"/>
        <v>62.7</v>
      </c>
      <c r="G76" s="28"/>
      <c r="H76" s="24"/>
      <c r="J76" s="24"/>
      <c r="K76" s="24"/>
      <c r="L76" s="24"/>
      <c r="M76" s="24"/>
      <c r="N76" s="24"/>
      <c r="O76" s="24"/>
      <c r="P76" s="24"/>
      <c r="Q76" s="24"/>
      <c r="R76" s="24"/>
      <c r="S76" s="24"/>
    </row>
    <row r="77" spans="1:19" s="23" customFormat="1" ht="20.25" customHeight="1" x14ac:dyDescent="0.25">
      <c r="B77" s="24" t="s">
        <v>144</v>
      </c>
      <c r="C77" s="25" t="s">
        <v>139</v>
      </c>
      <c r="D77" s="26">
        <v>91</v>
      </c>
      <c r="E77" s="30">
        <f t="shared" si="3"/>
        <v>9.1</v>
      </c>
      <c r="F77" s="27">
        <f t="shared" si="2"/>
        <v>100.1</v>
      </c>
      <c r="G77" s="28"/>
      <c r="H77" s="24"/>
      <c r="J77" s="24"/>
      <c r="K77" s="24"/>
      <c r="L77" s="24"/>
      <c r="M77" s="24"/>
      <c r="N77" s="24"/>
      <c r="O77" s="24"/>
      <c r="P77" s="24"/>
      <c r="Q77" s="24"/>
      <c r="R77" s="24"/>
      <c r="S77" s="24"/>
    </row>
    <row r="78" spans="1:19" s="23" customFormat="1" ht="20.25" customHeight="1" x14ac:dyDescent="0.25">
      <c r="B78" s="24" t="s">
        <v>145</v>
      </c>
      <c r="C78" s="25" t="s">
        <v>139</v>
      </c>
      <c r="D78" s="26">
        <v>68</v>
      </c>
      <c r="E78" s="30">
        <f t="shared" si="3"/>
        <v>6.8000000000000007</v>
      </c>
      <c r="F78" s="27">
        <f t="shared" si="2"/>
        <v>74.8</v>
      </c>
      <c r="G78" s="28"/>
      <c r="H78" s="24"/>
      <c r="J78" s="24"/>
      <c r="K78" s="24"/>
      <c r="L78" s="24"/>
      <c r="M78" s="24"/>
      <c r="N78" s="24"/>
      <c r="O78" s="24"/>
      <c r="P78" s="24"/>
      <c r="Q78" s="24"/>
      <c r="R78" s="24"/>
      <c r="S78" s="24"/>
    </row>
    <row r="79" spans="1:19" s="23" customFormat="1" ht="20.25" customHeight="1" x14ac:dyDescent="0.25">
      <c r="B79" s="24" t="s">
        <v>146</v>
      </c>
      <c r="C79" s="25" t="s">
        <v>141</v>
      </c>
      <c r="D79" s="26">
        <v>32</v>
      </c>
      <c r="E79" s="30">
        <f t="shared" si="3"/>
        <v>3.2</v>
      </c>
      <c r="F79" s="27">
        <f t="shared" si="2"/>
        <v>35.200000000000003</v>
      </c>
      <c r="G79" s="31"/>
      <c r="H79" s="24"/>
      <c r="J79" s="24"/>
      <c r="K79" s="24"/>
      <c r="L79" s="24"/>
      <c r="M79" s="24"/>
      <c r="N79" s="24"/>
      <c r="O79" s="24"/>
      <c r="P79" s="24"/>
      <c r="Q79" s="24"/>
      <c r="R79" s="24"/>
      <c r="S79" s="24"/>
    </row>
    <row r="80" spans="1:19" s="23" customFormat="1" ht="20.25" customHeight="1" x14ac:dyDescent="0.25">
      <c r="B80" s="24" t="s">
        <v>147</v>
      </c>
      <c r="C80" s="25" t="s">
        <v>141</v>
      </c>
      <c r="D80" s="26">
        <v>49</v>
      </c>
      <c r="E80" s="30">
        <f t="shared" si="3"/>
        <v>4.9000000000000004</v>
      </c>
      <c r="F80" s="27">
        <f t="shared" si="2"/>
        <v>53.9</v>
      </c>
      <c r="G80" s="31"/>
      <c r="H80" s="24"/>
      <c r="J80" s="24"/>
      <c r="K80" s="24"/>
      <c r="L80" s="24"/>
      <c r="M80" s="24"/>
      <c r="N80" s="24"/>
      <c r="O80" s="24"/>
      <c r="P80" s="24"/>
      <c r="Q80" s="24"/>
      <c r="R80" s="24"/>
      <c r="S80" s="24"/>
    </row>
    <row r="81" spans="1:19" s="21" customFormat="1" ht="20.25" customHeight="1" x14ac:dyDescent="0.25">
      <c r="B81" s="24" t="s">
        <v>148</v>
      </c>
      <c r="C81" s="25" t="s">
        <v>141</v>
      </c>
      <c r="D81" s="26">
        <v>113</v>
      </c>
      <c r="E81" s="30">
        <f t="shared" si="3"/>
        <v>11.3</v>
      </c>
      <c r="F81" s="27">
        <f t="shared" si="2"/>
        <v>124.3</v>
      </c>
      <c r="G81" s="31"/>
      <c r="H81" s="24"/>
      <c r="I81" s="23"/>
      <c r="J81" s="24"/>
      <c r="K81" s="24"/>
      <c r="L81" s="24"/>
      <c r="M81" s="24"/>
      <c r="N81" s="24"/>
      <c r="O81" s="24"/>
      <c r="P81" s="24"/>
      <c r="Q81" s="24"/>
      <c r="R81" s="24"/>
      <c r="S81" s="24"/>
    </row>
    <row r="82" spans="1:19" s="21" customFormat="1" ht="20.25" customHeight="1" x14ac:dyDescent="0.25">
      <c r="B82" s="24" t="s">
        <v>149</v>
      </c>
      <c r="C82" s="25" t="s">
        <v>139</v>
      </c>
      <c r="D82" s="26">
        <v>83</v>
      </c>
      <c r="E82" s="30">
        <f t="shared" si="3"/>
        <v>8.3000000000000007</v>
      </c>
      <c r="F82" s="27">
        <f t="shared" si="2"/>
        <v>91.3</v>
      </c>
      <c r="G82" s="31"/>
      <c r="H82" s="24"/>
      <c r="I82" s="23"/>
      <c r="J82" s="24"/>
      <c r="K82" s="24"/>
      <c r="L82" s="24"/>
      <c r="M82" s="24"/>
      <c r="N82" s="24"/>
      <c r="O82" s="24"/>
      <c r="P82" s="24"/>
      <c r="Q82" s="24"/>
      <c r="R82" s="24"/>
      <c r="S82" s="24"/>
    </row>
    <row r="83" spans="1:19" s="21" customFormat="1" ht="20.25" customHeight="1" x14ac:dyDescent="0.25">
      <c r="B83" s="24" t="s">
        <v>150</v>
      </c>
      <c r="C83" s="25" t="s">
        <v>141</v>
      </c>
      <c r="D83" s="26">
        <v>140</v>
      </c>
      <c r="E83" s="30">
        <f t="shared" si="3"/>
        <v>14</v>
      </c>
      <c r="F83" s="27">
        <f t="shared" si="2"/>
        <v>154</v>
      </c>
      <c r="G83" s="31"/>
      <c r="H83" s="24"/>
      <c r="I83" s="23"/>
      <c r="J83" s="24"/>
      <c r="K83" s="24"/>
      <c r="L83" s="24"/>
      <c r="M83" s="24"/>
      <c r="N83" s="24"/>
      <c r="O83" s="24"/>
      <c r="P83" s="24"/>
      <c r="Q83" s="24"/>
      <c r="R83" s="24"/>
      <c r="S83" s="24"/>
    </row>
    <row r="84" spans="1:19" s="21" customFormat="1" ht="20.25" customHeight="1" x14ac:dyDescent="0.25">
      <c r="B84"/>
      <c r="C84"/>
      <c r="D84"/>
      <c r="E84"/>
      <c r="F84"/>
      <c r="G84" s="31"/>
      <c r="H84" s="31"/>
      <c r="I84" s="23"/>
      <c r="J84" s="24"/>
      <c r="K84" s="24"/>
      <c r="L84" s="24"/>
      <c r="M84" s="24"/>
      <c r="N84" s="24"/>
      <c r="O84" s="24"/>
      <c r="P84" s="24"/>
      <c r="Q84" s="24"/>
      <c r="R84" s="24"/>
      <c r="S84" s="24"/>
    </row>
    <row r="85" spans="1:19" s="21" customFormat="1" ht="20.25" customHeight="1" x14ac:dyDescent="0.2">
      <c r="J85" s="24"/>
      <c r="K85" s="24"/>
      <c r="L85" s="24"/>
      <c r="M85" s="24"/>
      <c r="N85" s="24"/>
      <c r="O85" s="24"/>
      <c r="P85" s="24"/>
      <c r="Q85" s="24"/>
      <c r="R85" s="24"/>
      <c r="S85" s="24"/>
    </row>
    <row r="86" spans="1:19" s="21" customFormat="1" ht="20.25" customHeight="1" x14ac:dyDescent="0.2">
      <c r="A86" s="32"/>
      <c r="B86" s="32"/>
      <c r="D86" s="32"/>
      <c r="J86" s="24"/>
      <c r="K86" s="24"/>
      <c r="L86" s="24"/>
      <c r="M86" s="24"/>
      <c r="N86" s="24"/>
      <c r="O86" s="24"/>
      <c r="P86" s="24"/>
      <c r="Q86" s="24"/>
      <c r="R86" s="24"/>
      <c r="S86" s="24"/>
    </row>
  </sheetData>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01461-DE73-40D7-8FE2-08DD46B3D76E}">
  <dimension ref="A1:L47"/>
  <sheetViews>
    <sheetView showGridLines="0" workbookViewId="0">
      <selection activeCell="G17" sqref="G17"/>
    </sheetView>
  </sheetViews>
  <sheetFormatPr defaultRowHeight="16.5" x14ac:dyDescent="0.3"/>
  <cols>
    <col min="1" max="1" width="3.42578125" style="4" customWidth="1"/>
    <col min="2" max="2" width="17" style="4" bestFit="1" customWidth="1"/>
    <col min="3" max="3" width="12.7109375" style="4" customWidth="1"/>
    <col min="4" max="4" width="13.5703125" style="4" customWidth="1"/>
    <col min="5" max="5" width="15.5703125" style="4"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2" width="15.5703125" style="4" bestFit="1" customWidth="1"/>
    <col min="13" max="15" width="9.28515625" style="4" customWidth="1"/>
    <col min="16" max="16" width="17" style="4" bestFit="1" customWidth="1"/>
    <col min="17" max="18" width="15.85546875" style="4" customWidth="1"/>
    <col min="19" max="16384" width="9.140625" style="4"/>
  </cols>
  <sheetData>
    <row r="1" spans="1:12" s="7" customFormat="1" ht="48.75" customHeight="1" x14ac:dyDescent="0.25">
      <c r="A1" s="7" t="s">
        <v>279</v>
      </c>
    </row>
    <row r="3" spans="1:12" s="35" customFormat="1" x14ac:dyDescent="0.3">
      <c r="A3" s="85" t="s">
        <v>218</v>
      </c>
    </row>
    <row r="5" spans="1:12" customFormat="1" x14ac:dyDescent="0.3">
      <c r="A5" s="4"/>
      <c r="B5" s="52" t="s">
        <v>176</v>
      </c>
      <c r="C5" s="53"/>
      <c r="D5" s="54"/>
    </row>
    <row r="6" spans="1:12" s="21" customFormat="1" ht="20.25" customHeight="1" x14ac:dyDescent="0.3">
      <c r="B6" s="20" t="s">
        <v>111</v>
      </c>
      <c r="C6" s="10" t="s">
        <v>282</v>
      </c>
      <c r="D6" s="11"/>
      <c r="E6" s="11"/>
      <c r="F6" s="11"/>
      <c r="G6" s="11"/>
      <c r="H6" s="42"/>
      <c r="I6" s="42"/>
      <c r="J6" s="42"/>
    </row>
    <row r="7" spans="1:12" customFormat="1" x14ac:dyDescent="0.3">
      <c r="A7" s="4"/>
      <c r="D7" s="53"/>
      <c r="E7" s="54"/>
    </row>
    <row r="8" spans="1:12" customFormat="1" ht="56.25" customHeight="1" x14ac:dyDescent="0.3">
      <c r="A8" s="4"/>
      <c r="D8" s="53"/>
      <c r="E8" s="54"/>
    </row>
    <row r="9" spans="1:12" customFormat="1" x14ac:dyDescent="0.3">
      <c r="A9" s="4"/>
      <c r="B9" s="55" t="s">
        <v>54</v>
      </c>
      <c r="C9" s="56" t="s">
        <v>55</v>
      </c>
      <c r="D9" s="57" t="s">
        <v>56</v>
      </c>
      <c r="E9" s="58" t="s">
        <v>177</v>
      </c>
      <c r="G9" s="59" t="s">
        <v>55</v>
      </c>
      <c r="H9" s="59" t="s">
        <v>56</v>
      </c>
      <c r="L9" s="59" t="s">
        <v>178</v>
      </c>
    </row>
    <row r="10" spans="1:12" customFormat="1" x14ac:dyDescent="0.3">
      <c r="A10" s="4"/>
      <c r="B10" s="60" t="s">
        <v>68</v>
      </c>
      <c r="C10" s="61" t="s">
        <v>77</v>
      </c>
      <c r="D10" s="62">
        <v>64400</v>
      </c>
      <c r="E10" s="63">
        <v>0.93500000000000005</v>
      </c>
      <c r="G10" t="s">
        <v>84</v>
      </c>
      <c r="H10" s="53">
        <f>_xlfn.XLOOKUP(G10,C10:C23,D10:D23)</f>
        <v>90700</v>
      </c>
      <c r="I10" t="str">
        <f ca="1">_xlfn.FORMULATEXT(H10)</f>
        <v>=XLOOKUP(G10,C10:C23,D10:D23)</v>
      </c>
      <c r="L10" t="str" cm="1">
        <f t="array" ref="L10:L23">_xlfn.UNIQUE(C10:C23)</f>
        <v>Bike Racks</v>
      </c>
    </row>
    <row r="11" spans="1:12" customFormat="1" x14ac:dyDescent="0.3">
      <c r="A11" s="4"/>
      <c r="B11" s="64" t="s">
        <v>68</v>
      </c>
      <c r="C11" s="65" t="s">
        <v>69</v>
      </c>
      <c r="D11" s="66">
        <v>36400</v>
      </c>
      <c r="E11" s="67">
        <v>0.64999999999999991</v>
      </c>
      <c r="H11" s="53">
        <f>VLOOKUP(G10,C10:D23,2,0)</f>
        <v>90700</v>
      </c>
      <c r="I11" t="str">
        <f ca="1">_xlfn.FORMULATEXT(H11)</f>
        <v>=VLOOKUP(G10,C10:D23,2,0)</v>
      </c>
      <c r="L11" t="str">
        <v>Helmets</v>
      </c>
    </row>
    <row r="12" spans="1:12" customFormat="1" x14ac:dyDescent="0.3">
      <c r="A12" s="4"/>
      <c r="B12" s="60" t="s">
        <v>68</v>
      </c>
      <c r="C12" s="61" t="s">
        <v>70</v>
      </c>
      <c r="D12" s="62">
        <v>36700</v>
      </c>
      <c r="E12" s="63">
        <v>0.9</v>
      </c>
      <c r="L12" t="str">
        <v>Lights</v>
      </c>
    </row>
    <row r="13" spans="1:12" customFormat="1" x14ac:dyDescent="0.3">
      <c r="A13" s="4"/>
      <c r="B13" s="64" t="s">
        <v>68</v>
      </c>
      <c r="C13" s="65" t="s">
        <v>71</v>
      </c>
      <c r="D13" s="66">
        <v>35000</v>
      </c>
      <c r="E13" s="67">
        <v>1</v>
      </c>
      <c r="L13" t="str">
        <v>Locks</v>
      </c>
    </row>
    <row r="14" spans="1:12" customFormat="1" x14ac:dyDescent="0.3">
      <c r="A14" s="4"/>
      <c r="B14" s="60" t="s">
        <v>66</v>
      </c>
      <c r="C14" s="61" t="s">
        <v>76</v>
      </c>
      <c r="D14" s="62">
        <v>13000</v>
      </c>
      <c r="E14" s="63">
        <v>0.54</v>
      </c>
      <c r="L14" t="str">
        <v>Cargo Bike</v>
      </c>
    </row>
    <row r="15" spans="1:12" customFormat="1" x14ac:dyDescent="0.3">
      <c r="A15" s="4"/>
      <c r="B15" s="64" t="s">
        <v>66</v>
      </c>
      <c r="C15" s="65" t="s">
        <v>67</v>
      </c>
      <c r="D15" s="66">
        <v>8500</v>
      </c>
      <c r="E15" s="67">
        <v>0.46</v>
      </c>
      <c r="L15" t="str">
        <v>Mountain Bikes</v>
      </c>
    </row>
    <row r="16" spans="1:12" customFormat="1" x14ac:dyDescent="0.3">
      <c r="A16" s="4"/>
      <c r="B16" s="60" t="s">
        <v>59</v>
      </c>
      <c r="C16" s="61" t="s">
        <v>61</v>
      </c>
      <c r="D16" s="62">
        <v>10200</v>
      </c>
      <c r="E16" s="63">
        <v>0.3</v>
      </c>
      <c r="L16" t="str">
        <v>Bib-Shorts</v>
      </c>
    </row>
    <row r="17" spans="1:12" customFormat="1" x14ac:dyDescent="0.3">
      <c r="A17" s="4"/>
      <c r="B17" s="64" t="s">
        <v>59</v>
      </c>
      <c r="C17" s="65" t="s">
        <v>78</v>
      </c>
      <c r="D17" s="66">
        <v>23600</v>
      </c>
      <c r="E17" s="67">
        <v>0.57499999999999996</v>
      </c>
      <c r="L17" t="str">
        <v>Caps</v>
      </c>
    </row>
    <row r="18" spans="1:12" customFormat="1" x14ac:dyDescent="0.3">
      <c r="A18" s="4"/>
      <c r="B18" s="60" t="s">
        <v>59</v>
      </c>
      <c r="C18" s="61" t="s">
        <v>84</v>
      </c>
      <c r="D18" s="62">
        <v>90700</v>
      </c>
      <c r="E18" s="63">
        <v>0.89</v>
      </c>
      <c r="L18" t="str">
        <v>Gloves</v>
      </c>
    </row>
    <row r="19" spans="1:12" customFormat="1" x14ac:dyDescent="0.3">
      <c r="A19" s="4"/>
      <c r="B19" s="64" t="s">
        <v>59</v>
      </c>
      <c r="C19" s="65" t="s">
        <v>73</v>
      </c>
      <c r="D19" s="66">
        <v>7500</v>
      </c>
      <c r="E19" s="67">
        <v>0.4</v>
      </c>
      <c r="L19" t="str">
        <v>Jerseys</v>
      </c>
    </row>
    <row r="20" spans="1:12" customFormat="1" x14ac:dyDescent="0.3">
      <c r="A20" s="4"/>
      <c r="B20" s="60" t="s">
        <v>57</v>
      </c>
      <c r="C20" s="61" t="s">
        <v>72</v>
      </c>
      <c r="D20" s="62">
        <v>17500</v>
      </c>
      <c r="E20" s="63">
        <v>0.46</v>
      </c>
      <c r="L20" t="str">
        <v>Bottom Brackets</v>
      </c>
    </row>
    <row r="21" spans="1:12" customFormat="1" x14ac:dyDescent="0.3">
      <c r="A21" s="4"/>
      <c r="B21" s="64" t="s">
        <v>57</v>
      </c>
      <c r="C21" s="65" t="s">
        <v>65</v>
      </c>
      <c r="D21" s="66">
        <v>8500</v>
      </c>
      <c r="E21" s="67">
        <v>0.4</v>
      </c>
      <c r="L21" t="str">
        <v>Brakes</v>
      </c>
    </row>
    <row r="22" spans="1:12" customFormat="1" x14ac:dyDescent="0.3">
      <c r="A22" s="4"/>
      <c r="B22" s="60" t="s">
        <v>57</v>
      </c>
      <c r="C22" s="61" t="s">
        <v>58</v>
      </c>
      <c r="D22" s="62">
        <v>56000</v>
      </c>
      <c r="E22" s="63">
        <v>0.875</v>
      </c>
      <c r="L22" t="str">
        <v>Chains</v>
      </c>
    </row>
    <row r="23" spans="1:12" customFormat="1" x14ac:dyDescent="0.3">
      <c r="A23" s="4"/>
      <c r="B23" s="68" t="s">
        <v>57</v>
      </c>
      <c r="C23" s="69" t="s">
        <v>64</v>
      </c>
      <c r="D23" s="70">
        <v>8100</v>
      </c>
      <c r="E23" s="71">
        <v>0.28499999999999998</v>
      </c>
      <c r="L23" t="str">
        <v>Handlebars</v>
      </c>
    </row>
    <row r="24" spans="1:12" customFormat="1" x14ac:dyDescent="0.3">
      <c r="A24" s="4"/>
      <c r="D24" s="53"/>
      <c r="E24" s="54"/>
    </row>
    <row r="25" spans="1:12" customFormat="1" ht="15" x14ac:dyDescent="0.25">
      <c r="C25" s="53"/>
      <c r="D25" s="54"/>
    </row>
    <row r="27" spans="1:12" s="35" customFormat="1" x14ac:dyDescent="0.3">
      <c r="A27" s="85" t="s">
        <v>186</v>
      </c>
    </row>
    <row r="29" spans="1:12" s="21" customFormat="1" ht="20.25" customHeight="1" x14ac:dyDescent="0.3">
      <c r="B29" s="20" t="s">
        <v>111</v>
      </c>
      <c r="C29" s="10" t="s">
        <v>284</v>
      </c>
      <c r="D29" s="11"/>
      <c r="E29" s="11"/>
      <c r="F29" s="11"/>
      <c r="G29" s="24"/>
      <c r="H29" s="24"/>
      <c r="I29" s="24"/>
      <c r="J29" s="24"/>
    </row>
    <row r="30" spans="1:12" s="24" customFormat="1" ht="17.25" customHeight="1" x14ac:dyDescent="0.3">
      <c r="B30" s="20" t="s">
        <v>111</v>
      </c>
      <c r="C30" s="10" t="s">
        <v>283</v>
      </c>
      <c r="D30" s="11"/>
      <c r="E30" s="11"/>
      <c r="F30" s="11"/>
    </row>
    <row r="31" spans="1:12" s="24" customFormat="1" ht="17.25" customHeight="1" x14ac:dyDescent="0.2"/>
    <row r="32" spans="1:12" s="21" customFormat="1" ht="20.25" customHeight="1" x14ac:dyDescent="0.2">
      <c r="E32" s="72" t="s">
        <v>179</v>
      </c>
      <c r="F32" s="21" t="s">
        <v>140</v>
      </c>
      <c r="G32" s="21">
        <f>MATCH(F32,$B$39:$B$46,0)</f>
        <v>3</v>
      </c>
      <c r="H32" s="21" t="str">
        <f ca="1">IFERROR(_xlfn.FORMULATEXT(G32),"")</f>
        <v>=MATCH(F32,$B$39:$B$46,0)</v>
      </c>
    </row>
    <row r="33" spans="1:8" s="21" customFormat="1" ht="20.25" customHeight="1" x14ac:dyDescent="0.2"/>
    <row r="34" spans="1:8" s="21" customFormat="1" ht="20.25" customHeight="1" x14ac:dyDescent="0.2">
      <c r="E34" s="72" t="s">
        <v>180</v>
      </c>
      <c r="F34" s="21" t="s">
        <v>171</v>
      </c>
      <c r="G34" s="21">
        <f>MATCH(F34,B39:F39,0)</f>
        <v>4</v>
      </c>
      <c r="H34" s="21" t="str">
        <f ca="1">IFERROR(_xlfn.FORMULATEXT(G34),"")</f>
        <v>=MATCH(F34,B39:F39,0)</v>
      </c>
    </row>
    <row r="35" spans="1:8" s="21" customFormat="1" ht="20.25" customHeight="1" x14ac:dyDescent="0.2"/>
    <row r="36" spans="1:8" s="21" customFormat="1" ht="20.25" customHeight="1" x14ac:dyDescent="0.2">
      <c r="C36" s="72"/>
      <c r="D36" s="72"/>
      <c r="F36" s="72" t="str">
        <f>"Use INDEX to find the number of views for: "&amp;F32&amp;" in the "&amp;F34&amp;" Region"</f>
        <v>Use INDEX to find the number of views for: Ben Ten in the South Region</v>
      </c>
      <c r="G36" s="21">
        <f>INDEX(B39:F46,MATCH(F32,B39:B46,0),MATCH(F34,B39:F39,0))</f>
        <v>125</v>
      </c>
      <c r="H36" s="21" t="str">
        <f ca="1">IFERROR(_xlfn.FORMULATEXT(G36),"")</f>
        <v>=INDEX(B39:F46,MATCH(F32,B39:B46,0),MATCH(F34,B39:F39,0))</v>
      </c>
    </row>
    <row r="37" spans="1:8" s="21" customFormat="1" ht="20.25" customHeight="1" x14ac:dyDescent="0.2"/>
    <row r="38" spans="1:8" s="21" customFormat="1" ht="20.25" customHeight="1" x14ac:dyDescent="0.2">
      <c r="A38" s="73"/>
      <c r="B38" s="74">
        <v>1</v>
      </c>
      <c r="C38" s="75">
        <v>2</v>
      </c>
      <c r="D38" s="75">
        <v>3</v>
      </c>
      <c r="E38" s="75">
        <v>4</v>
      </c>
      <c r="F38" s="75">
        <v>5</v>
      </c>
    </row>
    <row r="39" spans="1:8" s="21" customFormat="1" ht="20.25" customHeight="1" thickBot="1" x14ac:dyDescent="0.25">
      <c r="A39" s="32">
        <v>1</v>
      </c>
      <c r="B39" s="76" t="s">
        <v>181</v>
      </c>
      <c r="C39" s="77" t="s">
        <v>167</v>
      </c>
      <c r="D39" s="77" t="s">
        <v>170</v>
      </c>
      <c r="E39" s="77" t="s">
        <v>171</v>
      </c>
      <c r="F39" s="77" t="s">
        <v>173</v>
      </c>
    </row>
    <row r="40" spans="1:8" s="21" customFormat="1" ht="20.25" customHeight="1" thickTop="1" x14ac:dyDescent="0.2">
      <c r="A40" s="32">
        <v>2</v>
      </c>
      <c r="B40" s="78" t="s">
        <v>182</v>
      </c>
      <c r="C40" s="79">
        <v>102</v>
      </c>
      <c r="D40" s="79">
        <v>91</v>
      </c>
      <c r="E40" s="79">
        <v>87</v>
      </c>
      <c r="F40" s="79">
        <v>99</v>
      </c>
    </row>
    <row r="41" spans="1:8" s="21" customFormat="1" ht="20.25" customHeight="1" x14ac:dyDescent="0.2">
      <c r="A41" s="32">
        <v>3</v>
      </c>
      <c r="B41" s="80" t="s">
        <v>140</v>
      </c>
      <c r="C41" s="81">
        <v>107</v>
      </c>
      <c r="D41" s="81">
        <v>133</v>
      </c>
      <c r="E41" s="81">
        <v>125</v>
      </c>
      <c r="F41" s="81">
        <v>140</v>
      </c>
    </row>
    <row r="42" spans="1:8" s="21" customFormat="1" ht="20.25" customHeight="1" x14ac:dyDescent="0.2">
      <c r="A42" s="32">
        <v>4</v>
      </c>
      <c r="B42" s="78" t="s">
        <v>183</v>
      </c>
      <c r="C42" s="79">
        <v>91</v>
      </c>
      <c r="D42" s="79">
        <v>73</v>
      </c>
      <c r="E42" s="79">
        <v>85</v>
      </c>
      <c r="F42" s="79">
        <v>79</v>
      </c>
    </row>
    <row r="43" spans="1:8" s="21" customFormat="1" ht="20.25" customHeight="1" x14ac:dyDescent="0.2">
      <c r="A43" s="32">
        <v>5</v>
      </c>
      <c r="B43" s="80" t="s">
        <v>147</v>
      </c>
      <c r="C43" s="81">
        <v>49</v>
      </c>
      <c r="D43" s="81">
        <v>50</v>
      </c>
      <c r="E43" s="81">
        <v>59</v>
      </c>
      <c r="F43" s="81">
        <v>51</v>
      </c>
    </row>
    <row r="44" spans="1:8" s="21" customFormat="1" ht="20.25" customHeight="1" x14ac:dyDescent="0.2">
      <c r="A44" s="32">
        <v>6</v>
      </c>
      <c r="B44" s="78" t="s">
        <v>184</v>
      </c>
      <c r="C44" s="79">
        <v>57</v>
      </c>
      <c r="D44" s="79">
        <v>44</v>
      </c>
      <c r="E44" s="79">
        <v>37</v>
      </c>
      <c r="F44" s="79">
        <v>32</v>
      </c>
    </row>
    <row r="45" spans="1:8" s="21" customFormat="1" ht="20.25" customHeight="1" x14ac:dyDescent="0.2">
      <c r="A45" s="32">
        <v>7</v>
      </c>
      <c r="B45" s="82" t="s">
        <v>138</v>
      </c>
      <c r="C45" s="83">
        <v>206</v>
      </c>
      <c r="D45" s="83">
        <v>138</v>
      </c>
      <c r="E45" s="83">
        <v>172</v>
      </c>
      <c r="F45" s="83">
        <v>240</v>
      </c>
    </row>
    <row r="46" spans="1:8" s="21" customFormat="1" ht="20.25" customHeight="1" x14ac:dyDescent="0.2">
      <c r="A46" s="32">
        <v>8</v>
      </c>
      <c r="B46" s="84" t="s">
        <v>185</v>
      </c>
      <c r="C46" s="79">
        <v>72</v>
      </c>
      <c r="D46" s="79">
        <v>86</v>
      </c>
      <c r="E46" s="79">
        <v>83</v>
      </c>
      <c r="F46" s="79">
        <v>95</v>
      </c>
    </row>
    <row r="47" spans="1:8" s="24" customFormat="1" ht="17.25" customHeight="1" x14ac:dyDescent="0.2"/>
  </sheetData>
  <dataValidations count="3">
    <dataValidation type="list" allowBlank="1" showInputMessage="1" showErrorMessage="1" sqref="G10" xr:uid="{6EA4CCCA-32E1-40CA-9864-A743728BB0CE}">
      <formula1>_xlfn.ANCHORARRAY($K$5)</formula1>
    </dataValidation>
    <dataValidation type="list" allowBlank="1" showInputMessage="1" showErrorMessage="1" sqref="F34" xr:uid="{2A425EB0-09DE-4995-ACA7-1419A004EF66}">
      <formula1>$C$39:$F$39</formula1>
    </dataValidation>
    <dataValidation type="list" allowBlank="1" showInputMessage="1" showErrorMessage="1" sqref="F32" xr:uid="{C1B833DB-FA1F-42C5-A142-F5512A3D0976}">
      <formula1>$B$40:$B$46</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BF862-A1F6-42AD-8ED5-643091B51BD5}">
  <dimension ref="A1:K63"/>
  <sheetViews>
    <sheetView showGridLines="0" workbookViewId="0">
      <selection activeCell="A2" sqref="A2"/>
    </sheetView>
  </sheetViews>
  <sheetFormatPr defaultRowHeight="16.5" x14ac:dyDescent="0.3"/>
  <cols>
    <col min="1" max="1" width="3.42578125" style="4" customWidth="1"/>
    <col min="2" max="2" width="13" style="4" customWidth="1"/>
    <col min="3" max="3" width="25.5703125" style="4" customWidth="1"/>
    <col min="4" max="4" width="13.5703125" style="4" bestFit="1" customWidth="1"/>
    <col min="5" max="5" width="5.140625" style="4" customWidth="1"/>
    <col min="6" max="6" width="16.8554687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0" s="7" customFormat="1" ht="48.75" customHeight="1" x14ac:dyDescent="0.25">
      <c r="A1" s="7" t="s">
        <v>280</v>
      </c>
    </row>
    <row r="3" spans="1:10" s="35" customFormat="1" x14ac:dyDescent="0.3">
      <c r="A3" s="85" t="s">
        <v>238</v>
      </c>
    </row>
    <row r="4" spans="1:10" customFormat="1" ht="15" x14ac:dyDescent="0.25"/>
    <row r="5" spans="1:10" customFormat="1" ht="15" x14ac:dyDescent="0.25"/>
    <row r="6" spans="1:10" customFormat="1" ht="23.25" customHeight="1" x14ac:dyDescent="0.25"/>
    <row r="7" spans="1:10" customFormat="1" ht="24.75" customHeight="1" x14ac:dyDescent="0.25">
      <c r="B7" s="117" t="s">
        <v>111</v>
      </c>
      <c r="C7" s="134" t="s">
        <v>219</v>
      </c>
      <c r="D7" s="133"/>
    </row>
    <row r="8" spans="1:10" customFormat="1" ht="15" x14ac:dyDescent="0.25"/>
    <row r="9" spans="1:10" s="120" customFormat="1" ht="22.5" customHeight="1" x14ac:dyDescent="0.25">
      <c r="B9" s="128" t="s">
        <v>220</v>
      </c>
      <c r="C9" s="128" t="s">
        <v>221</v>
      </c>
      <c r="D9" s="121">
        <f>6%/12</f>
        <v>5.0000000000000001E-3</v>
      </c>
      <c r="E9" s="122"/>
      <c r="F9" s="120" t="s">
        <v>222</v>
      </c>
    </row>
    <row r="10" spans="1:10" s="120" customFormat="1" ht="22.5" customHeight="1" x14ac:dyDescent="0.25">
      <c r="B10" s="128" t="s">
        <v>223</v>
      </c>
      <c r="C10" s="128" t="s">
        <v>224</v>
      </c>
      <c r="D10" s="123">
        <f>12*20</f>
        <v>240</v>
      </c>
      <c r="F10" s="120" t="s">
        <v>225</v>
      </c>
    </row>
    <row r="11" spans="1:10" s="120" customFormat="1" ht="22.5" customHeight="1" x14ac:dyDescent="0.25">
      <c r="B11" s="128" t="s">
        <v>226</v>
      </c>
      <c r="C11" s="128" t="s">
        <v>227</v>
      </c>
      <c r="D11" s="124">
        <v>500000</v>
      </c>
      <c r="E11" s="125"/>
      <c r="F11" s="120" t="s">
        <v>228</v>
      </c>
    </row>
    <row r="12" spans="1:10" s="120" customFormat="1" ht="22.5" customHeight="1" x14ac:dyDescent="0.25">
      <c r="B12" s="128" t="s">
        <v>229</v>
      </c>
      <c r="C12" s="128" t="s">
        <v>230</v>
      </c>
      <c r="D12" s="123">
        <v>0</v>
      </c>
      <c r="F12" s="120" t="s">
        <v>231</v>
      </c>
    </row>
    <row r="13" spans="1:10" s="120" customFormat="1" ht="22.5" customHeight="1" x14ac:dyDescent="0.25">
      <c r="B13" s="128" t="s">
        <v>232</v>
      </c>
      <c r="C13" s="129" t="s">
        <v>233</v>
      </c>
      <c r="D13" s="123">
        <v>0</v>
      </c>
      <c r="F13" s="120" t="s">
        <v>234</v>
      </c>
    </row>
    <row r="14" spans="1:10" customFormat="1" ht="15" x14ac:dyDescent="0.25"/>
    <row r="15" spans="1:10" s="120" customFormat="1" ht="21.75" customHeight="1" x14ac:dyDescent="0.25">
      <c r="B15" s="128" t="s">
        <v>106</v>
      </c>
      <c r="C15" s="129" t="s">
        <v>235</v>
      </c>
      <c r="D15" s="126">
        <f>PMT(D9,D10,D11,D12,D13)</f>
        <v>-3582.1552923908243</v>
      </c>
      <c r="F15" s="120" t="str">
        <f ca="1">IFERROR(_xlfn.FORMULATEXT(D15),"")</f>
        <v>=PMT(D9,D10,D11,D12,D13)</v>
      </c>
      <c r="J15" s="127"/>
    </row>
    <row r="16" spans="1:10" customFormat="1" ht="15" x14ac:dyDescent="0.25"/>
    <row r="17" spans="1:6" customFormat="1" ht="15" x14ac:dyDescent="0.25">
      <c r="B17" t="s">
        <v>236</v>
      </c>
    </row>
    <row r="18" spans="1:6" customFormat="1" ht="15" x14ac:dyDescent="0.25">
      <c r="B18" t="s">
        <v>237</v>
      </c>
    </row>
    <row r="20" spans="1:6" s="35" customFormat="1" x14ac:dyDescent="0.3">
      <c r="A20" s="85" t="s">
        <v>217</v>
      </c>
    </row>
    <row r="24" spans="1:6" ht="24.75" customHeight="1" x14ac:dyDescent="0.3"/>
    <row r="26" spans="1:6" customFormat="1" ht="24.75" customHeight="1" x14ac:dyDescent="0.25">
      <c r="B26" s="117" t="s">
        <v>111</v>
      </c>
      <c r="C26" s="134" t="s">
        <v>239</v>
      </c>
      <c r="D26" s="133"/>
    </row>
    <row r="27" spans="1:6" x14ac:dyDescent="0.3">
      <c r="B27"/>
      <c r="C27"/>
      <c r="D27"/>
    </row>
    <row r="28" spans="1:6" ht="26.25" customHeight="1" x14ac:dyDescent="0.3">
      <c r="B28" s="128" t="s">
        <v>220</v>
      </c>
      <c r="C28" s="128" t="s">
        <v>221</v>
      </c>
      <c r="D28" s="121">
        <f>12%/12</f>
        <v>0.01</v>
      </c>
      <c r="F28" s="120" t="s">
        <v>222</v>
      </c>
    </row>
    <row r="29" spans="1:6" ht="26.25" customHeight="1" x14ac:dyDescent="0.3">
      <c r="B29" s="128" t="s">
        <v>223</v>
      </c>
      <c r="C29" s="128" t="s">
        <v>224</v>
      </c>
      <c r="D29" s="123">
        <f>5*12</f>
        <v>60</v>
      </c>
      <c r="F29" s="120" t="s">
        <v>245</v>
      </c>
    </row>
    <row r="30" spans="1:6" ht="26.25" customHeight="1" x14ac:dyDescent="0.3">
      <c r="B30" s="128" t="s">
        <v>240</v>
      </c>
      <c r="C30" s="128" t="s">
        <v>241</v>
      </c>
      <c r="D30" s="130">
        <v>-500</v>
      </c>
      <c r="F30" s="120" t="s">
        <v>242</v>
      </c>
    </row>
    <row r="31" spans="1:6" ht="26.25" customHeight="1" x14ac:dyDescent="0.3">
      <c r="B31" s="128" t="s">
        <v>229</v>
      </c>
      <c r="C31" s="128" t="s">
        <v>289</v>
      </c>
      <c r="D31" s="123">
        <v>0</v>
      </c>
      <c r="F31" s="120" t="s">
        <v>290</v>
      </c>
    </row>
    <row r="32" spans="1:6" ht="26.25" customHeight="1" x14ac:dyDescent="0.3">
      <c r="B32" s="128" t="s">
        <v>232</v>
      </c>
      <c r="C32" s="129" t="s">
        <v>233</v>
      </c>
      <c r="D32" s="123">
        <v>0</v>
      </c>
      <c r="F32" s="120" t="s">
        <v>243</v>
      </c>
    </row>
    <row r="33" spans="1:6" x14ac:dyDescent="0.3">
      <c r="B33"/>
      <c r="C33"/>
      <c r="D33"/>
    </row>
    <row r="34" spans="1:6" x14ac:dyDescent="0.3">
      <c r="B34" s="128" t="s">
        <v>103</v>
      </c>
      <c r="C34" s="129" t="s">
        <v>244</v>
      </c>
      <c r="D34" s="126">
        <f>PV(D28,D29,D30,D31,D32)</f>
        <v>22477.519203112017</v>
      </c>
      <c r="F34" s="120" t="str">
        <f ca="1">IFERROR(_xlfn.FORMULATEXT(D34),"")</f>
        <v>=PV(D28,D29,D30,D31,D32)</v>
      </c>
    </row>
    <row r="35" spans="1:6" x14ac:dyDescent="0.3">
      <c r="D35" s="131"/>
    </row>
    <row r="37" spans="1:6" s="35" customFormat="1" x14ac:dyDescent="0.3">
      <c r="A37" s="85" t="s">
        <v>246</v>
      </c>
    </row>
    <row r="39" spans="1:6" ht="44.25" customHeight="1" x14ac:dyDescent="0.3"/>
    <row r="40" spans="1:6" customFormat="1" ht="24.75" customHeight="1" x14ac:dyDescent="0.25">
      <c r="B40" s="117" t="s">
        <v>111</v>
      </c>
      <c r="C40" s="118" t="s">
        <v>247</v>
      </c>
      <c r="D40" s="119"/>
    </row>
    <row r="41" spans="1:6" x14ac:dyDescent="0.3">
      <c r="B41"/>
      <c r="C41"/>
      <c r="D41"/>
    </row>
    <row r="42" spans="1:6" ht="23.25" customHeight="1" x14ac:dyDescent="0.3">
      <c r="B42" s="128" t="s">
        <v>220</v>
      </c>
      <c r="C42" s="128" t="s">
        <v>265</v>
      </c>
      <c r="D42" s="121">
        <f>12%</f>
        <v>0.12</v>
      </c>
      <c r="F42" s="132" t="s">
        <v>264</v>
      </c>
    </row>
    <row r="43" spans="1:6" ht="23.25" customHeight="1" x14ac:dyDescent="0.3">
      <c r="B43" s="128" t="s">
        <v>262</v>
      </c>
      <c r="C43" s="128" t="s">
        <v>252</v>
      </c>
      <c r="D43" s="130">
        <v>-10000</v>
      </c>
      <c r="F43" s="4" t="s">
        <v>263</v>
      </c>
    </row>
    <row r="44" spans="1:6" ht="23.25" customHeight="1" x14ac:dyDescent="0.3">
      <c r="B44" s="128" t="s">
        <v>249</v>
      </c>
      <c r="C44" s="128" t="s">
        <v>257</v>
      </c>
      <c r="D44" s="130">
        <v>3000</v>
      </c>
      <c r="F44" s="4" t="s">
        <v>254</v>
      </c>
    </row>
    <row r="45" spans="1:6" ht="23.25" customHeight="1" x14ac:dyDescent="0.3">
      <c r="B45" s="128" t="s">
        <v>250</v>
      </c>
      <c r="C45" s="128" t="s">
        <v>258</v>
      </c>
      <c r="D45" s="130">
        <v>5000</v>
      </c>
      <c r="F45" s="4" t="s">
        <v>255</v>
      </c>
    </row>
    <row r="46" spans="1:6" ht="23.25" customHeight="1" x14ac:dyDescent="0.3">
      <c r="B46" s="128" t="s">
        <v>251</v>
      </c>
      <c r="C46" s="128" t="s">
        <v>259</v>
      </c>
      <c r="D46" s="130">
        <v>10000</v>
      </c>
      <c r="F46" s="4" t="s">
        <v>256</v>
      </c>
    </row>
    <row r="47" spans="1:6" ht="23.25" customHeight="1" x14ac:dyDescent="0.3">
      <c r="B47"/>
      <c r="C47"/>
      <c r="D47"/>
    </row>
    <row r="48" spans="1:6" ht="23.25" customHeight="1" x14ac:dyDescent="0.3">
      <c r="B48" s="128" t="s">
        <v>104</v>
      </c>
      <c r="C48" s="129" t="s">
        <v>253</v>
      </c>
      <c r="D48" s="126">
        <f>NPV(D42,D44:D46)+D43</f>
        <v>3782.3432944606393</v>
      </c>
      <c r="F48" s="120" t="str">
        <f ca="1">IFERROR(_xlfn.FORMULATEXT(D48),"")</f>
        <v>=NPV(D42,D44:D46)+D43</v>
      </c>
    </row>
    <row r="51" spans="1:11" s="35" customFormat="1" x14ac:dyDescent="0.3">
      <c r="A51" s="85" t="s">
        <v>260</v>
      </c>
    </row>
    <row r="53" spans="1:11" ht="39" customHeight="1" x14ac:dyDescent="0.3"/>
    <row r="54" spans="1:11" customFormat="1" ht="24.75" customHeight="1" x14ac:dyDescent="0.25">
      <c r="B54" s="117" t="s">
        <v>111</v>
      </c>
      <c r="C54" s="134" t="s">
        <v>268</v>
      </c>
      <c r="D54" s="133"/>
    </row>
    <row r="55" spans="1:11" x14ac:dyDescent="0.3">
      <c r="B55"/>
      <c r="C55"/>
      <c r="D55"/>
    </row>
    <row r="56" spans="1:11" ht="22.5" customHeight="1" x14ac:dyDescent="0.3">
      <c r="B56" s="128" t="s">
        <v>248</v>
      </c>
      <c r="C56" s="128" t="s">
        <v>269</v>
      </c>
      <c r="D56" s="130">
        <v>-50000</v>
      </c>
      <c r="F56" s="4" t="s">
        <v>266</v>
      </c>
    </row>
    <row r="57" spans="1:11" ht="22.5" customHeight="1" x14ac:dyDescent="0.3">
      <c r="B57" s="128" t="s">
        <v>249</v>
      </c>
      <c r="C57" s="128" t="s">
        <v>270</v>
      </c>
      <c r="D57" s="130">
        <v>19000</v>
      </c>
      <c r="F57" s="138" t="s">
        <v>267</v>
      </c>
    </row>
    <row r="58" spans="1:11" ht="22.5" customHeight="1" x14ac:dyDescent="0.3">
      <c r="B58" s="128" t="s">
        <v>250</v>
      </c>
      <c r="C58" s="128" t="s">
        <v>271</v>
      </c>
      <c r="D58" s="130">
        <v>20000</v>
      </c>
      <c r="F58" s="138" t="s">
        <v>276</v>
      </c>
    </row>
    <row r="59" spans="1:11" ht="22.5" customHeight="1" x14ac:dyDescent="0.3">
      <c r="B59" s="128" t="s">
        <v>251</v>
      </c>
      <c r="C59" s="128" t="s">
        <v>272</v>
      </c>
      <c r="D59" s="130">
        <v>21000</v>
      </c>
      <c r="F59" s="138" t="s">
        <v>277</v>
      </c>
    </row>
    <row r="60" spans="1:11" ht="22.5" customHeight="1" x14ac:dyDescent="0.3">
      <c r="B60" s="128" t="s">
        <v>273</v>
      </c>
      <c r="C60" s="128" t="s">
        <v>274</v>
      </c>
      <c r="D60" s="137">
        <v>0.09</v>
      </c>
      <c r="F60" s="4" t="s">
        <v>275</v>
      </c>
    </row>
    <row r="61" spans="1:11" ht="22.5" customHeight="1" x14ac:dyDescent="0.3">
      <c r="B61"/>
      <c r="C61"/>
      <c r="D61"/>
    </row>
    <row r="62" spans="1:11" ht="22.5" customHeight="1" x14ac:dyDescent="0.3">
      <c r="B62" s="128" t="s">
        <v>105</v>
      </c>
      <c r="C62" s="129" t="s">
        <v>261</v>
      </c>
      <c r="D62" s="135">
        <f>IRR(D56:D59,D60)</f>
        <v>9.529467634393507E-2</v>
      </c>
      <c r="F62" s="120" t="str">
        <f ca="1">IFERROR(_xlfn.FORMULATEXT(D62),"")</f>
        <v>=IRR(D56:D59,D60)</v>
      </c>
    </row>
    <row r="63" spans="1:11" x14ac:dyDescent="0.3">
      <c r="K63" s="136"/>
    </row>
  </sheetData>
  <phoneticPr fontId="2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43AC-EFE8-47C5-AE88-D6B55882BE83}">
  <dimension ref="A1:J102"/>
  <sheetViews>
    <sheetView showGridLines="0" workbookViewId="0">
      <selection activeCell="A2" sqref="A2"/>
    </sheetView>
  </sheetViews>
  <sheetFormatPr defaultRowHeight="16.5" x14ac:dyDescent="0.3"/>
  <cols>
    <col min="1" max="1" width="3.42578125" style="4" customWidth="1"/>
    <col min="2" max="2" width="17" style="4" bestFit="1" customWidth="1"/>
    <col min="3" max="3" width="11.42578125" style="4" customWidth="1"/>
    <col min="4" max="4" width="17" style="4" customWidth="1"/>
    <col min="5" max="5" width="15.5703125" style="4" customWidth="1"/>
    <col min="6" max="6" width="16.85546875" style="4" customWidth="1"/>
    <col min="7" max="7" width="24.7109375" style="4" bestFit="1" customWidth="1"/>
    <col min="8" max="8" width="10" style="4" bestFit="1" customWidth="1"/>
    <col min="9" max="9" width="11.85546875" style="4" bestFit="1" customWidth="1"/>
    <col min="10" max="10" width="12.28515625" style="4"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9" s="7" customFormat="1" ht="48.75" customHeight="1" x14ac:dyDescent="0.25">
      <c r="A1" s="7" t="s">
        <v>281</v>
      </c>
    </row>
    <row r="3" spans="1:9" s="105" customFormat="1" ht="20.25" x14ac:dyDescent="0.3">
      <c r="A3" s="104" t="s">
        <v>187</v>
      </c>
      <c r="B3" s="104"/>
      <c r="C3" s="104"/>
      <c r="D3" s="104"/>
      <c r="E3" s="104"/>
      <c r="F3" s="104"/>
      <c r="G3" s="104"/>
      <c r="H3" s="104"/>
      <c r="I3" s="104"/>
    </row>
    <row r="4" spans="1:9" customFormat="1" ht="15" x14ac:dyDescent="0.25"/>
    <row r="5" spans="1:9" customFormat="1" ht="15" x14ac:dyDescent="0.25"/>
    <row r="6" spans="1:9" customFormat="1" ht="15" x14ac:dyDescent="0.25"/>
    <row r="7" spans="1:9" customFormat="1" ht="15" x14ac:dyDescent="0.25"/>
    <row r="8" spans="1:9" customFormat="1" ht="15" x14ac:dyDescent="0.25">
      <c r="B8" s="86" t="s">
        <v>111</v>
      </c>
      <c r="C8" s="10" t="s">
        <v>188</v>
      </c>
      <c r="D8" s="87"/>
      <c r="E8" s="87"/>
    </row>
    <row r="9" spans="1:9" customFormat="1" ht="15" x14ac:dyDescent="0.25"/>
    <row r="10" spans="1:9" customFormat="1" ht="35.25" customHeight="1" x14ac:dyDescent="0.25">
      <c r="B10" s="88" t="s">
        <v>189</v>
      </c>
      <c r="C10" s="140" t="s">
        <v>190</v>
      </c>
      <c r="D10" s="140"/>
      <c r="E10" s="140"/>
      <c r="F10" s="140"/>
      <c r="G10" s="140"/>
    </row>
    <row r="11" spans="1:9" customFormat="1" ht="15" x14ac:dyDescent="0.25"/>
    <row r="12" spans="1:9" s="89" customFormat="1" ht="30" x14ac:dyDescent="0.25">
      <c r="B12" s="90" t="s">
        <v>157</v>
      </c>
      <c r="C12" s="91" t="s">
        <v>191</v>
      </c>
      <c r="D12" s="92" t="s">
        <v>192</v>
      </c>
      <c r="E12"/>
    </row>
    <row r="13" spans="1:9" customFormat="1" ht="15" x14ac:dyDescent="0.25">
      <c r="B13" s="93">
        <v>42809</v>
      </c>
      <c r="C13" s="94">
        <v>1</v>
      </c>
      <c r="D13" s="95">
        <f>EOMONTH(B13,C13)</f>
        <v>42855</v>
      </c>
    </row>
    <row r="14" spans="1:9" customFormat="1" ht="15" x14ac:dyDescent="0.25">
      <c r="B14" s="96">
        <v>42809</v>
      </c>
      <c r="C14" s="97">
        <v>-1</v>
      </c>
      <c r="D14" s="98">
        <f t="shared" ref="D14:D19" si="0">EOMONTH(B14,C14)</f>
        <v>42794</v>
      </c>
    </row>
    <row r="15" spans="1:9" customFormat="1" ht="15" x14ac:dyDescent="0.25">
      <c r="B15" s="93">
        <v>42824</v>
      </c>
      <c r="C15" s="94">
        <v>0</v>
      </c>
      <c r="D15" s="95">
        <f>EOMONTH(B15,C15)</f>
        <v>42825</v>
      </c>
    </row>
    <row r="16" spans="1:9" customFormat="1" ht="15" x14ac:dyDescent="0.25">
      <c r="B16" s="96">
        <v>43890</v>
      </c>
      <c r="C16" s="97">
        <v>1</v>
      </c>
      <c r="D16" s="98">
        <f t="shared" si="0"/>
        <v>43921</v>
      </c>
    </row>
    <row r="17" spans="1:9" customFormat="1" ht="15" x14ac:dyDescent="0.25">
      <c r="B17" s="93">
        <v>43890</v>
      </c>
      <c r="C17" s="94">
        <v>-1</v>
      </c>
      <c r="D17" s="95">
        <f t="shared" si="0"/>
        <v>43861</v>
      </c>
    </row>
    <row r="18" spans="1:9" customFormat="1" ht="15" x14ac:dyDescent="0.25">
      <c r="B18" s="96">
        <v>42824</v>
      </c>
      <c r="C18" s="97">
        <v>-1</v>
      </c>
      <c r="D18" s="98">
        <f t="shared" si="0"/>
        <v>42794</v>
      </c>
    </row>
    <row r="19" spans="1:9" customFormat="1" ht="15" x14ac:dyDescent="0.25">
      <c r="B19" s="93">
        <v>42824</v>
      </c>
      <c r="C19" s="94">
        <v>-12</v>
      </c>
      <c r="D19" s="95">
        <f t="shared" si="0"/>
        <v>42460</v>
      </c>
    </row>
    <row r="20" spans="1:9" customFormat="1" ht="15" x14ac:dyDescent="0.25"/>
    <row r="21" spans="1:9" customFormat="1" ht="15" x14ac:dyDescent="0.25"/>
    <row r="22" spans="1:9" customFormat="1" ht="15" x14ac:dyDescent="0.25"/>
    <row r="23" spans="1:9" customFormat="1" ht="15" x14ac:dyDescent="0.25"/>
    <row r="24" spans="1:9" customFormat="1" ht="15" x14ac:dyDescent="0.25"/>
    <row r="25" spans="1:9" customFormat="1" ht="15" x14ac:dyDescent="0.25"/>
    <row r="26" spans="1:9" customFormat="1" ht="15" x14ac:dyDescent="0.25"/>
    <row r="27" spans="1:9" customFormat="1" ht="15" x14ac:dyDescent="0.25"/>
    <row r="28" spans="1:9" customFormat="1" ht="15" x14ac:dyDescent="0.25"/>
    <row r="29" spans="1:9" customFormat="1" ht="15" x14ac:dyDescent="0.25"/>
    <row r="30" spans="1:9" customFormat="1" ht="15" x14ac:dyDescent="0.25"/>
    <row r="31" spans="1:9" s="105" customFormat="1" ht="20.25" x14ac:dyDescent="0.3">
      <c r="A31" s="104" t="s">
        <v>193</v>
      </c>
      <c r="B31" s="104"/>
      <c r="C31" s="104"/>
      <c r="D31" s="104"/>
      <c r="E31" s="104"/>
      <c r="F31" s="104"/>
      <c r="G31" s="104"/>
      <c r="H31" s="104"/>
      <c r="I31" s="104"/>
    </row>
    <row r="32" spans="1:9" customFormat="1" ht="15" x14ac:dyDescent="0.25"/>
    <row r="33" spans="2:5" customFormat="1" ht="15" x14ac:dyDescent="0.25"/>
    <row r="34" spans="2:5" customFormat="1" ht="15" x14ac:dyDescent="0.25"/>
    <row r="35" spans="2:5" customFormat="1" ht="15" x14ac:dyDescent="0.25"/>
    <row r="36" spans="2:5" customFormat="1" ht="15" x14ac:dyDescent="0.25">
      <c r="B36" s="86" t="s">
        <v>111</v>
      </c>
      <c r="C36" s="10" t="s">
        <v>194</v>
      </c>
      <c r="D36" s="87"/>
      <c r="E36" s="87"/>
    </row>
    <row r="37" spans="2:5" customFormat="1" ht="15" x14ac:dyDescent="0.25"/>
    <row r="38" spans="2:5" customFormat="1" ht="48.75" customHeight="1" x14ac:dyDescent="0.25">
      <c r="B38" s="88" t="s">
        <v>189</v>
      </c>
      <c r="C38" s="140" t="s">
        <v>190</v>
      </c>
      <c r="D38" s="140"/>
      <c r="E38" s="140"/>
    </row>
    <row r="39" spans="2:5" customFormat="1" ht="15" x14ac:dyDescent="0.25"/>
    <row r="40" spans="2:5" s="89" customFormat="1" ht="30" x14ac:dyDescent="0.25">
      <c r="B40" s="90" t="s">
        <v>157</v>
      </c>
      <c r="C40" s="91" t="s">
        <v>191</v>
      </c>
      <c r="D40" s="91" t="s">
        <v>195</v>
      </c>
      <c r="E40" s="99" t="s">
        <v>196</v>
      </c>
    </row>
    <row r="41" spans="2:5" customFormat="1" ht="15" x14ac:dyDescent="0.25">
      <c r="B41" s="93">
        <v>42809</v>
      </c>
      <c r="C41" s="94">
        <v>1</v>
      </c>
      <c r="D41" s="100">
        <f t="shared" ref="D41:D47" si="1">EDATE(B41,C41)</f>
        <v>42840</v>
      </c>
      <c r="E41" s="101">
        <f t="shared" ref="E41:E47" si="2">D41-B41</f>
        <v>31</v>
      </c>
    </row>
    <row r="42" spans="2:5" customFormat="1" ht="15" x14ac:dyDescent="0.25">
      <c r="B42" s="96">
        <v>42809</v>
      </c>
      <c r="C42" s="97">
        <v>-1</v>
      </c>
      <c r="D42" s="102">
        <f t="shared" si="1"/>
        <v>42781</v>
      </c>
      <c r="E42" s="103">
        <f t="shared" si="2"/>
        <v>-28</v>
      </c>
    </row>
    <row r="43" spans="2:5" customFormat="1" ht="15" x14ac:dyDescent="0.25">
      <c r="B43" s="93">
        <v>43890</v>
      </c>
      <c r="C43" s="94">
        <v>1</v>
      </c>
      <c r="D43" s="100">
        <f t="shared" si="1"/>
        <v>43919</v>
      </c>
      <c r="E43" s="101">
        <f t="shared" si="2"/>
        <v>29</v>
      </c>
    </row>
    <row r="44" spans="2:5" customFormat="1" ht="15" x14ac:dyDescent="0.25">
      <c r="B44" s="96">
        <v>43890</v>
      </c>
      <c r="C44" s="97">
        <v>-1</v>
      </c>
      <c r="D44" s="102">
        <f t="shared" si="1"/>
        <v>43859</v>
      </c>
      <c r="E44" s="103">
        <f t="shared" si="2"/>
        <v>-31</v>
      </c>
    </row>
    <row r="45" spans="2:5" customFormat="1" ht="15" x14ac:dyDescent="0.25">
      <c r="B45" s="93">
        <v>42824</v>
      </c>
      <c r="C45" s="94">
        <v>-1</v>
      </c>
      <c r="D45" s="100">
        <f t="shared" si="1"/>
        <v>42794</v>
      </c>
      <c r="E45" s="101">
        <f t="shared" si="2"/>
        <v>-30</v>
      </c>
    </row>
    <row r="46" spans="2:5" customFormat="1" ht="15" x14ac:dyDescent="0.25">
      <c r="B46" s="96">
        <v>42824</v>
      </c>
      <c r="C46" s="97">
        <v>-12</v>
      </c>
      <c r="D46" s="102">
        <f t="shared" si="1"/>
        <v>42459</v>
      </c>
      <c r="E46" s="103">
        <f t="shared" si="2"/>
        <v>-365</v>
      </c>
    </row>
    <row r="47" spans="2:5" customFormat="1" ht="15" x14ac:dyDescent="0.25">
      <c r="B47" s="93">
        <v>42824</v>
      </c>
      <c r="C47" s="94">
        <v>6.8</v>
      </c>
      <c r="D47" s="100">
        <f t="shared" si="1"/>
        <v>43008</v>
      </c>
      <c r="E47" s="101">
        <f t="shared" si="2"/>
        <v>184</v>
      </c>
    </row>
    <row r="48" spans="2:5" customFormat="1" ht="15" x14ac:dyDescent="0.25"/>
    <row r="49" spans="1:9" customFormat="1" ht="15" x14ac:dyDescent="0.25"/>
    <row r="50" spans="1:9" customFormat="1" ht="15" x14ac:dyDescent="0.25"/>
    <row r="51" spans="1:9" customFormat="1" ht="15" x14ac:dyDescent="0.25"/>
    <row r="52" spans="1:9" customFormat="1" ht="15" x14ac:dyDescent="0.25"/>
    <row r="53" spans="1:9" customFormat="1" ht="15" x14ac:dyDescent="0.25"/>
    <row r="55" spans="1:9" s="105" customFormat="1" ht="20.25" x14ac:dyDescent="0.3">
      <c r="A55" s="104" t="s">
        <v>197</v>
      </c>
      <c r="B55" s="104"/>
      <c r="C55" s="104"/>
      <c r="D55" s="104"/>
      <c r="E55" s="104"/>
      <c r="F55" s="104"/>
      <c r="G55" s="104"/>
      <c r="H55" s="104"/>
      <c r="I55" s="104"/>
    </row>
    <row r="56" spans="1:9" customFormat="1" ht="15" x14ac:dyDescent="0.25"/>
    <row r="57" spans="1:9" customFormat="1" ht="15" x14ac:dyDescent="0.25"/>
    <row r="58" spans="1:9" customFormat="1" ht="15" x14ac:dyDescent="0.25"/>
    <row r="59" spans="1:9" customFormat="1" ht="15" x14ac:dyDescent="0.25"/>
    <row r="60" spans="1:9" customFormat="1" ht="15" x14ac:dyDescent="0.25">
      <c r="B60" s="9" t="s">
        <v>111</v>
      </c>
      <c r="C60" s="87" t="s">
        <v>198</v>
      </c>
      <c r="D60" s="87"/>
      <c r="E60" s="87"/>
      <c r="F60" s="87"/>
      <c r="G60" s="87"/>
    </row>
    <row r="61" spans="1:9" customFormat="1" ht="15" x14ac:dyDescent="0.25"/>
    <row r="62" spans="1:9" customFormat="1" ht="35.25" customHeight="1" x14ac:dyDescent="0.25">
      <c r="B62" s="106" t="s">
        <v>199</v>
      </c>
      <c r="C62" s="140" t="s">
        <v>200</v>
      </c>
      <c r="D62" s="140"/>
      <c r="E62" s="140"/>
      <c r="F62" s="140"/>
      <c r="G62" s="140"/>
    </row>
    <row r="63" spans="1:9" customFormat="1" ht="34.5" customHeight="1" x14ac:dyDescent="0.25">
      <c r="B63" s="106" t="s">
        <v>201</v>
      </c>
      <c r="C63" s="141" t="s">
        <v>202</v>
      </c>
      <c r="D63" s="141"/>
      <c r="E63" s="141"/>
      <c r="F63" s="141"/>
      <c r="G63" s="141"/>
    </row>
    <row r="64" spans="1:9" customFormat="1" ht="15" x14ac:dyDescent="0.25">
      <c r="B64" s="106"/>
    </row>
    <row r="65" spans="2:10" customFormat="1" ht="15" x14ac:dyDescent="0.25">
      <c r="B65" s="106"/>
    </row>
    <row r="66" spans="2:10" customFormat="1" ht="15" x14ac:dyDescent="0.25">
      <c r="B66" s="106"/>
    </row>
    <row r="67" spans="2:10" customFormat="1" ht="15" x14ac:dyDescent="0.25">
      <c r="B67" s="106"/>
    </row>
    <row r="68" spans="2:10" customFormat="1" ht="15" x14ac:dyDescent="0.25">
      <c r="B68" s="106"/>
    </row>
    <row r="69" spans="2:10" customFormat="1" ht="15" x14ac:dyDescent="0.25">
      <c r="B69" s="106"/>
    </row>
    <row r="70" spans="2:10" customFormat="1" ht="15" x14ac:dyDescent="0.25">
      <c r="B70" s="106"/>
    </row>
    <row r="71" spans="2:10" customFormat="1" ht="15" x14ac:dyDescent="0.25">
      <c r="B71" s="106"/>
    </row>
    <row r="72" spans="2:10" customFormat="1" ht="15" x14ac:dyDescent="0.25">
      <c r="B72" s="106"/>
    </row>
    <row r="73" spans="2:10" customFormat="1" ht="15" x14ac:dyDescent="0.25">
      <c r="B73" s="106"/>
    </row>
    <row r="74" spans="2:10" customFormat="1" ht="15" x14ac:dyDescent="0.25">
      <c r="B74" s="106"/>
    </row>
    <row r="75" spans="2:10" customFormat="1" ht="30.75" customHeight="1" x14ac:dyDescent="0.25">
      <c r="B75" s="106"/>
    </row>
    <row r="76" spans="2:10" customFormat="1" ht="15" x14ac:dyDescent="0.25">
      <c r="B76" s="106"/>
    </row>
    <row r="77" spans="2:10" s="89" customFormat="1" ht="30" x14ac:dyDescent="0.25">
      <c r="B77" s="90" t="s">
        <v>203</v>
      </c>
      <c r="C77" s="91" t="s">
        <v>204</v>
      </c>
      <c r="D77" s="91" t="s">
        <v>205</v>
      </c>
      <c r="E77" s="92" t="s">
        <v>206</v>
      </c>
      <c r="J77" s="107" t="s">
        <v>207</v>
      </c>
    </row>
    <row r="78" spans="2:10" customFormat="1" ht="15" x14ac:dyDescent="0.25">
      <c r="B78" s="108">
        <v>44927</v>
      </c>
      <c r="C78" s="109">
        <v>44957</v>
      </c>
      <c r="D78" s="110">
        <v>1</v>
      </c>
      <c r="E78" s="111">
        <f>NETWORKDAYS.INTL(B78,C78,D78,$J$78:$J$85)</f>
        <v>20</v>
      </c>
      <c r="J78" s="112">
        <v>44927</v>
      </c>
    </row>
    <row r="79" spans="2:10" customFormat="1" ht="15" x14ac:dyDescent="0.25">
      <c r="B79" s="96">
        <v>44927</v>
      </c>
      <c r="C79" s="102">
        <v>44957</v>
      </c>
      <c r="D79" s="97">
        <v>2</v>
      </c>
      <c r="E79" s="113">
        <f t="shared" ref="E79:E91" si="3">NETWORKDAYS.INTL(B79,C79,D79,$J$78:$J$85)</f>
        <v>20</v>
      </c>
      <c r="J79" s="114">
        <v>44928</v>
      </c>
    </row>
    <row r="80" spans="2:10" customFormat="1" ht="15" x14ac:dyDescent="0.25">
      <c r="B80" s="108">
        <v>44927</v>
      </c>
      <c r="C80" s="109">
        <v>44957</v>
      </c>
      <c r="D80" s="110">
        <v>3</v>
      </c>
      <c r="E80" s="111">
        <f t="shared" si="3"/>
        <v>19</v>
      </c>
      <c r="J80" s="112">
        <v>44952</v>
      </c>
    </row>
    <row r="81" spans="2:10" customFormat="1" ht="15" x14ac:dyDescent="0.25">
      <c r="B81" s="96">
        <v>44927</v>
      </c>
      <c r="C81" s="102">
        <v>44957</v>
      </c>
      <c r="D81" s="97">
        <v>4</v>
      </c>
      <c r="E81" s="113">
        <f t="shared" si="3"/>
        <v>19</v>
      </c>
      <c r="J81" s="114">
        <v>45030</v>
      </c>
    </row>
    <row r="82" spans="2:10" customFormat="1" ht="15" x14ac:dyDescent="0.25">
      <c r="B82" s="108">
        <v>44927</v>
      </c>
      <c r="C82" s="109">
        <v>44957</v>
      </c>
      <c r="D82" s="110">
        <v>5</v>
      </c>
      <c r="E82" s="111">
        <f t="shared" si="3"/>
        <v>21</v>
      </c>
      <c r="J82" s="112">
        <v>45033</v>
      </c>
    </row>
    <row r="83" spans="2:10" customFormat="1" ht="15" x14ac:dyDescent="0.25">
      <c r="B83" s="96">
        <v>44927</v>
      </c>
      <c r="C83" s="102">
        <v>44957</v>
      </c>
      <c r="D83" s="97">
        <v>6</v>
      </c>
      <c r="E83" s="113">
        <f t="shared" si="3"/>
        <v>21</v>
      </c>
      <c r="J83" s="114">
        <v>45041</v>
      </c>
    </row>
    <row r="84" spans="2:10" customFormat="1" ht="15" x14ac:dyDescent="0.25">
      <c r="B84" s="108">
        <v>44927</v>
      </c>
      <c r="C84" s="109">
        <v>44957</v>
      </c>
      <c r="D84" s="110">
        <v>7</v>
      </c>
      <c r="E84" s="111">
        <f t="shared" si="3"/>
        <v>20</v>
      </c>
      <c r="J84" s="112">
        <v>45285</v>
      </c>
    </row>
    <row r="85" spans="2:10" customFormat="1" ht="15" x14ac:dyDescent="0.25">
      <c r="B85" s="96">
        <v>44927</v>
      </c>
      <c r="C85" s="102">
        <v>44957</v>
      </c>
      <c r="D85" s="97">
        <v>11</v>
      </c>
      <c r="E85" s="113">
        <f t="shared" si="3"/>
        <v>24</v>
      </c>
      <c r="J85" s="114">
        <v>45286</v>
      </c>
    </row>
    <row r="86" spans="2:10" customFormat="1" ht="15" x14ac:dyDescent="0.25">
      <c r="B86" s="108">
        <v>44927</v>
      </c>
      <c r="C86" s="109">
        <v>44957</v>
      </c>
      <c r="D86" s="110">
        <v>12</v>
      </c>
      <c r="E86" s="111">
        <f t="shared" si="3"/>
        <v>24</v>
      </c>
    </row>
    <row r="87" spans="2:10" customFormat="1" ht="15" x14ac:dyDescent="0.25">
      <c r="B87" s="96">
        <v>44927</v>
      </c>
      <c r="C87" s="102">
        <v>44957</v>
      </c>
      <c r="D87" s="97">
        <v>13</v>
      </c>
      <c r="E87" s="113">
        <f t="shared" si="3"/>
        <v>23</v>
      </c>
    </row>
    <row r="88" spans="2:10" customFormat="1" ht="15" x14ac:dyDescent="0.25">
      <c r="B88" s="108">
        <v>44927</v>
      </c>
      <c r="C88" s="109">
        <v>44957</v>
      </c>
      <c r="D88" s="110">
        <v>14</v>
      </c>
      <c r="E88" s="111">
        <f t="shared" si="3"/>
        <v>24</v>
      </c>
    </row>
    <row r="89" spans="2:10" customFormat="1" ht="15" x14ac:dyDescent="0.25">
      <c r="B89" s="96">
        <v>44927</v>
      </c>
      <c r="C89" s="102">
        <v>44957</v>
      </c>
      <c r="D89" s="97">
        <v>15</v>
      </c>
      <c r="E89" s="113">
        <f t="shared" si="3"/>
        <v>25</v>
      </c>
    </row>
    <row r="90" spans="2:10" customFormat="1" ht="15" x14ac:dyDescent="0.25">
      <c r="B90" s="108">
        <v>44927</v>
      </c>
      <c r="C90" s="109">
        <v>44957</v>
      </c>
      <c r="D90" s="110">
        <v>16</v>
      </c>
      <c r="E90" s="111">
        <f t="shared" si="3"/>
        <v>24</v>
      </c>
    </row>
    <row r="91" spans="2:10" customFormat="1" ht="15" x14ac:dyDescent="0.25">
      <c r="B91" s="96">
        <v>44927</v>
      </c>
      <c r="C91" s="102">
        <v>44957</v>
      </c>
      <c r="D91" s="97">
        <v>17</v>
      </c>
      <c r="E91" s="113">
        <f t="shared" si="3"/>
        <v>24</v>
      </c>
    </row>
    <row r="92" spans="2:10" customFormat="1" ht="15" x14ac:dyDescent="0.25"/>
    <row r="93" spans="2:10" customFormat="1" ht="15" x14ac:dyDescent="0.25"/>
    <row r="94" spans="2:10" customFormat="1" ht="15" x14ac:dyDescent="0.25"/>
    <row r="95" spans="2:10" customFormat="1" ht="15" x14ac:dyDescent="0.25"/>
    <row r="96" spans="2:10" customFormat="1" ht="15" x14ac:dyDescent="0.25"/>
    <row r="97" spans="2:5" customFormat="1" ht="15" x14ac:dyDescent="0.25"/>
    <row r="98" spans="2:5" customFormat="1" ht="27.75" customHeight="1" x14ac:dyDescent="0.25"/>
    <row r="99" spans="2:5" customFormat="1" ht="15" x14ac:dyDescent="0.25">
      <c r="B99" s="108">
        <v>44927</v>
      </c>
      <c r="C99" s="109">
        <v>44957</v>
      </c>
      <c r="D99" s="110" t="s">
        <v>208</v>
      </c>
      <c r="E99" s="111">
        <f>NETWORKDAYS.INTL(B99,C99,D99,$J$78:$J$85)</f>
        <v>13</v>
      </c>
    </row>
    <row r="100" spans="2:5" customFormat="1" ht="15" x14ac:dyDescent="0.25">
      <c r="B100" s="96">
        <v>44927</v>
      </c>
      <c r="C100" s="102">
        <v>44957</v>
      </c>
      <c r="D100" s="97"/>
      <c r="E100" s="113">
        <f>NETWORKDAYS.INTL(B100,C100,"0001111",$J$78:$J$85)</f>
        <v>13</v>
      </c>
    </row>
    <row r="101" spans="2:5" customFormat="1" ht="15" x14ac:dyDescent="0.25"/>
    <row r="102" spans="2:5" customFormat="1" ht="15" x14ac:dyDescent="0.25"/>
  </sheetData>
  <mergeCells count="4">
    <mergeCell ref="C10:G10"/>
    <mergeCell ref="C38:E38"/>
    <mergeCell ref="C62:G62"/>
    <mergeCell ref="C63:G6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5"/>
  <sheetViews>
    <sheetView showGridLines="0" showRowColHeaders="0" workbookViewId="0">
      <selection activeCell="C30" sqref="C30"/>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9</v>
      </c>
      <c r="B1" s="7"/>
      <c r="C1" s="7"/>
      <c r="D1" s="7"/>
      <c r="E1" s="7"/>
      <c r="F1" s="7"/>
      <c r="G1" s="7"/>
      <c r="H1" s="7"/>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37</v>
      </c>
      <c r="C20" s="3" t="s">
        <v>38</v>
      </c>
    </row>
    <row r="21" spans="2:3" x14ac:dyDescent="0.25">
      <c r="B21" s="2" t="s">
        <v>39</v>
      </c>
      <c r="C21" s="3" t="s">
        <v>40</v>
      </c>
    </row>
    <row r="22" spans="2:3" x14ac:dyDescent="0.25">
      <c r="B22" s="2" t="s">
        <v>41</v>
      </c>
      <c r="C22" s="3" t="s">
        <v>42</v>
      </c>
    </row>
    <row r="23" spans="2:3" x14ac:dyDescent="0.25">
      <c r="B23" s="2" t="s">
        <v>43</v>
      </c>
      <c r="C23" s="3" t="s">
        <v>44</v>
      </c>
    </row>
    <row r="24" spans="2:3" x14ac:dyDescent="0.25">
      <c r="B24" s="2" t="s">
        <v>45</v>
      </c>
      <c r="C24" s="3" t="s">
        <v>46</v>
      </c>
    </row>
    <row r="25" spans="2:3" x14ac:dyDescent="0.25">
      <c r="B25" s="2" t="s">
        <v>47</v>
      </c>
      <c r="C25" s="3" t="s">
        <v>48</v>
      </c>
    </row>
    <row r="26" spans="2:3" x14ac:dyDescent="0.25">
      <c r="B26" s="2"/>
      <c r="C26" s="3"/>
    </row>
    <row r="27" spans="2:3" x14ac:dyDescent="0.25">
      <c r="B27" s="1" t="s">
        <v>49</v>
      </c>
    </row>
    <row r="28" spans="2:3" x14ac:dyDescent="0.25">
      <c r="B28" s="2" t="s">
        <v>50</v>
      </c>
      <c r="C28" s="3" t="s">
        <v>51</v>
      </c>
    </row>
    <row r="29" spans="2:3" x14ac:dyDescent="0.25">
      <c r="B29" s="2"/>
      <c r="C29" s="3"/>
    </row>
    <row r="30" spans="2:3" x14ac:dyDescent="0.25">
      <c r="B30" s="1" t="s">
        <v>52</v>
      </c>
      <c r="C30" s="3"/>
    </row>
    <row r="31" spans="2:3" x14ac:dyDescent="0.25"/>
    <row r="32" spans="2:3" x14ac:dyDescent="0.25"/>
    <row r="33" x14ac:dyDescent="0.25"/>
    <row r="34" x14ac:dyDescent="0.25"/>
    <row r="35"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8"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s>
  <pageMargins left="0.7" right="0.7" top="0.75" bottom="0.75" header="0.3" footer="0.3"/>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6FD12-6259-4431-BDA1-CA20DAAAB171}">
  <dimension ref="A1:D76"/>
  <sheetViews>
    <sheetView showGridLines="0" workbookViewId="0">
      <selection activeCell="B8" sqref="B8"/>
    </sheetView>
  </sheetViews>
  <sheetFormatPr defaultRowHeight="15" x14ac:dyDescent="0.25"/>
  <cols>
    <col min="1" max="1" width="7.28515625" bestFit="1" customWidth="1"/>
    <col min="2" max="2" width="12.28515625" bestFit="1" customWidth="1"/>
    <col min="3" max="3" width="15.5703125" bestFit="1" customWidth="1"/>
    <col min="4" max="4" width="9" bestFit="1" customWidth="1"/>
    <col min="7" max="7" width="10.7109375" bestFit="1" customWidth="1"/>
    <col min="9" max="9" width="10.7109375" bestFit="1" customWidth="1"/>
    <col min="12" max="12" width="10.7109375" bestFit="1" customWidth="1"/>
  </cols>
  <sheetData>
    <row r="1" spans="1:4" x14ac:dyDescent="0.25">
      <c r="A1" t="s">
        <v>53</v>
      </c>
      <c r="B1" t="s">
        <v>54</v>
      </c>
      <c r="C1" t="s">
        <v>55</v>
      </c>
      <c r="D1" t="s">
        <v>56</v>
      </c>
    </row>
    <row r="2" spans="1:4" x14ac:dyDescent="0.25">
      <c r="A2">
        <v>2022</v>
      </c>
      <c r="B2" t="s">
        <v>57</v>
      </c>
      <c r="C2" t="s">
        <v>58</v>
      </c>
      <c r="D2" s="8">
        <v>20000</v>
      </c>
    </row>
    <row r="3" spans="1:4" x14ac:dyDescent="0.25">
      <c r="A3">
        <v>2020</v>
      </c>
      <c r="B3" t="s">
        <v>59</v>
      </c>
      <c r="C3" t="s">
        <v>60</v>
      </c>
      <c r="D3" s="8">
        <v>3700</v>
      </c>
    </row>
    <row r="4" spans="1:4" x14ac:dyDescent="0.25">
      <c r="A4">
        <v>2022</v>
      </c>
      <c r="B4" t="s">
        <v>59</v>
      </c>
      <c r="C4" t="s">
        <v>61</v>
      </c>
      <c r="D4" s="8">
        <v>4000</v>
      </c>
    </row>
    <row r="5" spans="1:4" x14ac:dyDescent="0.25">
      <c r="A5">
        <v>2020</v>
      </c>
      <c r="B5" t="s">
        <v>59</v>
      </c>
      <c r="C5" t="s">
        <v>62</v>
      </c>
      <c r="D5" s="8">
        <v>13300</v>
      </c>
    </row>
    <row r="6" spans="1:4" x14ac:dyDescent="0.25">
      <c r="A6">
        <v>2022</v>
      </c>
      <c r="B6" t="s">
        <v>59</v>
      </c>
      <c r="C6" t="s">
        <v>63</v>
      </c>
      <c r="D6" s="8">
        <v>36000</v>
      </c>
    </row>
    <row r="7" spans="1:4" x14ac:dyDescent="0.25">
      <c r="A7">
        <v>2020</v>
      </c>
      <c r="B7" t="s">
        <v>57</v>
      </c>
      <c r="C7" t="s">
        <v>64</v>
      </c>
      <c r="D7" s="8">
        <v>2300</v>
      </c>
    </row>
    <row r="8" spans="1:4" x14ac:dyDescent="0.25">
      <c r="A8">
        <v>2021</v>
      </c>
      <c r="B8" t="s">
        <v>59</v>
      </c>
      <c r="C8" t="s">
        <v>60</v>
      </c>
      <c r="D8" s="8">
        <v>2300</v>
      </c>
    </row>
    <row r="9" spans="1:4" x14ac:dyDescent="0.25">
      <c r="A9">
        <v>2021</v>
      </c>
      <c r="B9" t="s">
        <v>57</v>
      </c>
      <c r="C9" t="s">
        <v>65</v>
      </c>
      <c r="D9" s="8">
        <v>3400</v>
      </c>
    </row>
    <row r="10" spans="1:4" x14ac:dyDescent="0.25">
      <c r="A10">
        <v>2021</v>
      </c>
      <c r="B10" t="s">
        <v>66</v>
      </c>
      <c r="C10" t="s">
        <v>67</v>
      </c>
      <c r="D10" s="8">
        <v>6300</v>
      </c>
    </row>
    <row r="11" spans="1:4" x14ac:dyDescent="0.25">
      <c r="A11">
        <v>2022</v>
      </c>
      <c r="B11" t="s">
        <v>57</v>
      </c>
      <c r="C11" t="s">
        <v>65</v>
      </c>
      <c r="D11" s="8">
        <v>5400</v>
      </c>
    </row>
    <row r="12" spans="1:4" x14ac:dyDescent="0.25">
      <c r="A12">
        <v>2021</v>
      </c>
      <c r="B12" t="s">
        <v>68</v>
      </c>
      <c r="C12" t="s">
        <v>69</v>
      </c>
      <c r="D12" s="8">
        <v>17000</v>
      </c>
    </row>
    <row r="13" spans="1:4" x14ac:dyDescent="0.25">
      <c r="A13">
        <v>2021</v>
      </c>
      <c r="B13" t="s">
        <v>68</v>
      </c>
      <c r="C13" t="s">
        <v>70</v>
      </c>
      <c r="D13" s="8">
        <v>21600</v>
      </c>
    </row>
    <row r="14" spans="1:4" x14ac:dyDescent="0.25">
      <c r="A14">
        <v>2021</v>
      </c>
      <c r="B14" t="s">
        <v>68</v>
      </c>
      <c r="C14" t="s">
        <v>71</v>
      </c>
      <c r="D14" s="8">
        <v>29800</v>
      </c>
    </row>
    <row r="15" spans="1:4" x14ac:dyDescent="0.25">
      <c r="A15">
        <v>2021</v>
      </c>
      <c r="B15" t="s">
        <v>57</v>
      </c>
      <c r="C15" t="s">
        <v>72</v>
      </c>
      <c r="D15" s="8">
        <v>1000</v>
      </c>
    </row>
    <row r="16" spans="1:4" x14ac:dyDescent="0.25">
      <c r="A16">
        <v>2020</v>
      </c>
      <c r="B16" t="s">
        <v>59</v>
      </c>
      <c r="C16" t="s">
        <v>73</v>
      </c>
      <c r="D16" s="8">
        <v>6700</v>
      </c>
    </row>
    <row r="17" spans="1:4" x14ac:dyDescent="0.25">
      <c r="A17">
        <v>2022</v>
      </c>
      <c r="B17" t="s">
        <v>57</v>
      </c>
      <c r="C17" t="s">
        <v>72</v>
      </c>
      <c r="D17" s="8">
        <v>600</v>
      </c>
    </row>
    <row r="18" spans="1:4" x14ac:dyDescent="0.25">
      <c r="A18">
        <v>2020</v>
      </c>
      <c r="B18" t="s">
        <v>66</v>
      </c>
      <c r="C18" t="s">
        <v>74</v>
      </c>
      <c r="D18" s="8">
        <v>3500</v>
      </c>
    </row>
    <row r="19" spans="1:4" x14ac:dyDescent="0.25">
      <c r="A19">
        <v>2022</v>
      </c>
      <c r="B19" t="s">
        <v>59</v>
      </c>
      <c r="C19" t="s">
        <v>73</v>
      </c>
      <c r="D19" s="8">
        <v>7500</v>
      </c>
    </row>
    <row r="20" spans="1:4" x14ac:dyDescent="0.25">
      <c r="A20">
        <v>2022</v>
      </c>
      <c r="B20" t="s">
        <v>68</v>
      </c>
      <c r="C20" t="s">
        <v>75</v>
      </c>
      <c r="D20" s="8">
        <v>63700</v>
      </c>
    </row>
    <row r="21" spans="1:4" x14ac:dyDescent="0.25">
      <c r="A21">
        <v>2022</v>
      </c>
      <c r="B21" t="s">
        <v>66</v>
      </c>
      <c r="C21" t="s">
        <v>76</v>
      </c>
      <c r="D21" s="8">
        <v>9300</v>
      </c>
    </row>
    <row r="22" spans="1:4" x14ac:dyDescent="0.25">
      <c r="A22">
        <v>2022</v>
      </c>
      <c r="B22" t="s">
        <v>66</v>
      </c>
      <c r="C22" t="s">
        <v>67</v>
      </c>
      <c r="D22" s="8">
        <v>8500</v>
      </c>
    </row>
    <row r="23" spans="1:4" x14ac:dyDescent="0.25">
      <c r="A23">
        <v>2022</v>
      </c>
      <c r="B23" t="s">
        <v>68</v>
      </c>
      <c r="C23" t="s">
        <v>77</v>
      </c>
      <c r="D23" s="8">
        <v>33700</v>
      </c>
    </row>
    <row r="24" spans="1:4" x14ac:dyDescent="0.25">
      <c r="A24">
        <v>2022</v>
      </c>
      <c r="B24" t="s">
        <v>59</v>
      </c>
      <c r="C24" t="s">
        <v>78</v>
      </c>
      <c r="D24" s="8">
        <v>600</v>
      </c>
    </row>
    <row r="25" spans="1:4" x14ac:dyDescent="0.25">
      <c r="A25">
        <v>2020</v>
      </c>
      <c r="B25" t="s">
        <v>66</v>
      </c>
      <c r="C25" t="s">
        <v>67</v>
      </c>
      <c r="D25" s="8">
        <v>3100</v>
      </c>
    </row>
    <row r="26" spans="1:4" x14ac:dyDescent="0.25">
      <c r="A26">
        <v>2022</v>
      </c>
      <c r="B26" t="s">
        <v>68</v>
      </c>
      <c r="C26" t="s">
        <v>79</v>
      </c>
      <c r="D26" s="8">
        <v>30700</v>
      </c>
    </row>
    <row r="27" spans="1:4" x14ac:dyDescent="0.25">
      <c r="A27">
        <v>2021</v>
      </c>
      <c r="B27" t="s">
        <v>68</v>
      </c>
      <c r="C27" t="s">
        <v>79</v>
      </c>
      <c r="D27" s="8">
        <v>16400</v>
      </c>
    </row>
    <row r="28" spans="1:4" x14ac:dyDescent="0.25">
      <c r="A28">
        <v>2021</v>
      </c>
      <c r="B28" t="s">
        <v>68</v>
      </c>
      <c r="C28" t="s">
        <v>77</v>
      </c>
      <c r="D28" s="8">
        <v>22100</v>
      </c>
    </row>
    <row r="29" spans="1:4" x14ac:dyDescent="0.25">
      <c r="A29">
        <v>2022</v>
      </c>
      <c r="B29" t="s">
        <v>68</v>
      </c>
      <c r="C29" t="s">
        <v>69</v>
      </c>
      <c r="D29" s="8">
        <v>34000</v>
      </c>
    </row>
    <row r="30" spans="1:4" x14ac:dyDescent="0.25">
      <c r="A30">
        <v>2020</v>
      </c>
      <c r="B30" t="s">
        <v>68</v>
      </c>
      <c r="C30" t="s">
        <v>79</v>
      </c>
      <c r="D30" s="8">
        <v>700</v>
      </c>
    </row>
    <row r="31" spans="1:4" x14ac:dyDescent="0.25">
      <c r="A31">
        <v>2020</v>
      </c>
      <c r="B31" t="s">
        <v>59</v>
      </c>
      <c r="C31" t="s">
        <v>63</v>
      </c>
      <c r="D31" s="8">
        <v>3300</v>
      </c>
    </row>
    <row r="32" spans="1:4" x14ac:dyDescent="0.25">
      <c r="A32">
        <v>2022</v>
      </c>
      <c r="B32" t="s">
        <v>66</v>
      </c>
      <c r="C32" t="s">
        <v>74</v>
      </c>
      <c r="D32" s="8">
        <v>16900</v>
      </c>
    </row>
    <row r="33" spans="1:4" x14ac:dyDescent="0.25">
      <c r="A33">
        <v>2022</v>
      </c>
      <c r="B33" t="s">
        <v>68</v>
      </c>
      <c r="C33" t="s">
        <v>70</v>
      </c>
      <c r="D33" s="8">
        <v>36700</v>
      </c>
    </row>
    <row r="34" spans="1:4" x14ac:dyDescent="0.25">
      <c r="A34">
        <v>2020</v>
      </c>
      <c r="B34" t="s">
        <v>68</v>
      </c>
      <c r="C34" t="s">
        <v>69</v>
      </c>
      <c r="D34" s="8">
        <v>8300</v>
      </c>
    </row>
    <row r="35" spans="1:4" x14ac:dyDescent="0.25">
      <c r="A35">
        <v>2021</v>
      </c>
      <c r="B35" t="s">
        <v>59</v>
      </c>
      <c r="C35" t="s">
        <v>61</v>
      </c>
      <c r="D35" s="8">
        <v>2900</v>
      </c>
    </row>
    <row r="36" spans="1:4" x14ac:dyDescent="0.25">
      <c r="A36">
        <v>2020</v>
      </c>
      <c r="B36" t="s">
        <v>68</v>
      </c>
      <c r="C36" t="s">
        <v>75</v>
      </c>
      <c r="D36" s="8">
        <v>8700</v>
      </c>
    </row>
    <row r="37" spans="1:4" x14ac:dyDescent="0.25">
      <c r="A37">
        <v>2022</v>
      </c>
      <c r="B37" t="s">
        <v>68</v>
      </c>
      <c r="C37" t="s">
        <v>71</v>
      </c>
      <c r="D37" s="8">
        <v>35000</v>
      </c>
    </row>
    <row r="38" spans="1:4" x14ac:dyDescent="0.25">
      <c r="A38">
        <v>2021</v>
      </c>
      <c r="B38" t="s">
        <v>66</v>
      </c>
      <c r="C38" t="s">
        <v>74</v>
      </c>
      <c r="D38" s="8">
        <v>8300</v>
      </c>
    </row>
    <row r="39" spans="1:4" x14ac:dyDescent="0.25">
      <c r="A39">
        <v>2021</v>
      </c>
      <c r="B39" t="s">
        <v>57</v>
      </c>
      <c r="C39" t="s">
        <v>80</v>
      </c>
      <c r="D39" s="8">
        <v>16700</v>
      </c>
    </row>
    <row r="40" spans="1:4" x14ac:dyDescent="0.25">
      <c r="A40">
        <v>2021</v>
      </c>
      <c r="B40" t="s">
        <v>66</v>
      </c>
      <c r="C40" t="s">
        <v>81</v>
      </c>
      <c r="D40" s="8">
        <v>1800</v>
      </c>
    </row>
    <row r="41" spans="1:4" x14ac:dyDescent="0.25">
      <c r="A41">
        <v>2022</v>
      </c>
      <c r="B41" t="s">
        <v>59</v>
      </c>
      <c r="C41" t="s">
        <v>60</v>
      </c>
      <c r="D41" s="8">
        <v>3700</v>
      </c>
    </row>
    <row r="42" spans="1:4" x14ac:dyDescent="0.25">
      <c r="A42">
        <v>2021</v>
      </c>
      <c r="B42" t="s">
        <v>59</v>
      </c>
      <c r="C42" t="s">
        <v>62</v>
      </c>
      <c r="D42" s="8">
        <v>12000</v>
      </c>
    </row>
    <row r="43" spans="1:4" x14ac:dyDescent="0.25">
      <c r="A43">
        <v>2020</v>
      </c>
      <c r="B43" t="s">
        <v>68</v>
      </c>
      <c r="C43" t="s">
        <v>71</v>
      </c>
      <c r="D43" s="8">
        <v>10000</v>
      </c>
    </row>
    <row r="44" spans="1:4" x14ac:dyDescent="0.25">
      <c r="A44">
        <v>2020</v>
      </c>
      <c r="B44" t="s">
        <v>57</v>
      </c>
      <c r="C44" t="s">
        <v>72</v>
      </c>
      <c r="D44" s="8">
        <v>500</v>
      </c>
    </row>
    <row r="45" spans="1:4" x14ac:dyDescent="0.25">
      <c r="A45">
        <v>2022</v>
      </c>
      <c r="B45" t="s">
        <v>57</v>
      </c>
      <c r="C45" t="s">
        <v>80</v>
      </c>
      <c r="D45" s="8">
        <v>21800</v>
      </c>
    </row>
    <row r="46" spans="1:4" x14ac:dyDescent="0.25">
      <c r="A46">
        <v>2021</v>
      </c>
      <c r="B46" t="s">
        <v>57</v>
      </c>
      <c r="C46" t="s">
        <v>58</v>
      </c>
      <c r="D46" s="8">
        <v>16400</v>
      </c>
    </row>
    <row r="47" spans="1:4" x14ac:dyDescent="0.25">
      <c r="A47">
        <v>2021</v>
      </c>
      <c r="B47" t="s">
        <v>59</v>
      </c>
      <c r="C47" t="s">
        <v>78</v>
      </c>
      <c r="D47" s="8">
        <v>400</v>
      </c>
    </row>
    <row r="48" spans="1:4" x14ac:dyDescent="0.25">
      <c r="A48">
        <v>2020</v>
      </c>
      <c r="B48" t="s">
        <v>59</v>
      </c>
      <c r="C48" t="s">
        <v>82</v>
      </c>
      <c r="D48" s="8">
        <v>3300</v>
      </c>
    </row>
    <row r="49" spans="1:4" x14ac:dyDescent="0.25">
      <c r="A49">
        <v>2022</v>
      </c>
      <c r="B49" t="s">
        <v>57</v>
      </c>
      <c r="C49" t="s">
        <v>64</v>
      </c>
      <c r="D49" s="8">
        <v>5000</v>
      </c>
    </row>
    <row r="50" spans="1:4" x14ac:dyDescent="0.25">
      <c r="A50">
        <v>2021</v>
      </c>
      <c r="B50" t="s">
        <v>57</v>
      </c>
      <c r="C50" t="s">
        <v>64</v>
      </c>
      <c r="D50" s="8">
        <v>3300</v>
      </c>
    </row>
    <row r="51" spans="1:4" x14ac:dyDescent="0.25">
      <c r="A51">
        <v>2020</v>
      </c>
      <c r="B51" t="s">
        <v>57</v>
      </c>
      <c r="C51" t="s">
        <v>83</v>
      </c>
      <c r="D51" s="8">
        <v>800</v>
      </c>
    </row>
    <row r="52" spans="1:4" x14ac:dyDescent="0.25">
      <c r="A52">
        <v>2021</v>
      </c>
      <c r="B52" t="s">
        <v>59</v>
      </c>
      <c r="C52" t="s">
        <v>84</v>
      </c>
      <c r="D52" s="8">
        <v>15600</v>
      </c>
    </row>
    <row r="53" spans="1:4" x14ac:dyDescent="0.25">
      <c r="A53">
        <v>2021</v>
      </c>
      <c r="B53" t="s">
        <v>57</v>
      </c>
      <c r="C53" t="s">
        <v>83</v>
      </c>
      <c r="D53" s="8">
        <v>1500</v>
      </c>
    </row>
    <row r="54" spans="1:4" x14ac:dyDescent="0.25">
      <c r="A54">
        <v>2022</v>
      </c>
      <c r="B54" t="s">
        <v>57</v>
      </c>
      <c r="C54" t="s">
        <v>83</v>
      </c>
      <c r="D54" s="8">
        <v>6200</v>
      </c>
    </row>
    <row r="55" spans="1:4" x14ac:dyDescent="0.25">
      <c r="A55">
        <v>2022</v>
      </c>
      <c r="B55" t="s">
        <v>59</v>
      </c>
      <c r="C55" t="s">
        <v>84</v>
      </c>
      <c r="D55" s="8">
        <v>27000</v>
      </c>
    </row>
    <row r="56" spans="1:4" x14ac:dyDescent="0.25">
      <c r="A56">
        <v>2021</v>
      </c>
      <c r="B56" t="s">
        <v>57</v>
      </c>
      <c r="C56" t="s">
        <v>85</v>
      </c>
      <c r="D56" s="8">
        <v>2800</v>
      </c>
    </row>
    <row r="57" spans="1:4" x14ac:dyDescent="0.25">
      <c r="A57">
        <v>2021</v>
      </c>
      <c r="B57" t="s">
        <v>66</v>
      </c>
      <c r="C57" t="s">
        <v>76</v>
      </c>
      <c r="D57" s="8">
        <v>6700</v>
      </c>
    </row>
    <row r="58" spans="1:4" x14ac:dyDescent="0.25">
      <c r="A58">
        <v>2020</v>
      </c>
      <c r="B58" t="s">
        <v>59</v>
      </c>
      <c r="C58" t="s">
        <v>84</v>
      </c>
      <c r="D58" s="8">
        <v>13300</v>
      </c>
    </row>
    <row r="59" spans="1:4" x14ac:dyDescent="0.25">
      <c r="A59">
        <v>2021</v>
      </c>
      <c r="B59" t="s">
        <v>68</v>
      </c>
      <c r="C59" t="s">
        <v>75</v>
      </c>
      <c r="D59" s="8">
        <v>13800</v>
      </c>
    </row>
    <row r="60" spans="1:4" x14ac:dyDescent="0.25">
      <c r="A60">
        <v>2022</v>
      </c>
      <c r="B60" t="s">
        <v>59</v>
      </c>
      <c r="C60" t="s">
        <v>82</v>
      </c>
      <c r="D60" s="8">
        <v>2400</v>
      </c>
    </row>
    <row r="61" spans="1:4" x14ac:dyDescent="0.25">
      <c r="A61">
        <v>2020</v>
      </c>
      <c r="B61" t="s">
        <v>68</v>
      </c>
      <c r="C61" t="s">
        <v>77</v>
      </c>
      <c r="D61" s="8">
        <v>300</v>
      </c>
    </row>
    <row r="62" spans="1:4" x14ac:dyDescent="0.25">
      <c r="A62">
        <v>2020</v>
      </c>
      <c r="B62" t="s">
        <v>57</v>
      </c>
      <c r="C62" t="s">
        <v>85</v>
      </c>
      <c r="D62" s="8">
        <v>2100</v>
      </c>
    </row>
    <row r="63" spans="1:4" x14ac:dyDescent="0.25">
      <c r="A63">
        <v>2020</v>
      </c>
      <c r="B63" t="s">
        <v>57</v>
      </c>
      <c r="C63" t="s">
        <v>65</v>
      </c>
      <c r="D63" s="8">
        <v>2300</v>
      </c>
    </row>
    <row r="64" spans="1:4" x14ac:dyDescent="0.25">
      <c r="A64">
        <v>2020</v>
      </c>
      <c r="B64" t="s">
        <v>57</v>
      </c>
      <c r="C64" t="s">
        <v>80</v>
      </c>
      <c r="D64" s="8">
        <v>10000</v>
      </c>
    </row>
    <row r="65" spans="1:4" x14ac:dyDescent="0.25">
      <c r="A65">
        <v>2020</v>
      </c>
      <c r="B65" t="s">
        <v>66</v>
      </c>
      <c r="C65" t="s">
        <v>81</v>
      </c>
      <c r="D65" s="8">
        <v>500</v>
      </c>
    </row>
    <row r="66" spans="1:4" x14ac:dyDescent="0.25">
      <c r="A66">
        <v>2021</v>
      </c>
      <c r="B66" t="s">
        <v>59</v>
      </c>
      <c r="C66" t="s">
        <v>73</v>
      </c>
      <c r="D66" s="8">
        <v>3800</v>
      </c>
    </row>
    <row r="67" spans="1:4" x14ac:dyDescent="0.25">
      <c r="A67">
        <v>2020</v>
      </c>
      <c r="B67" t="s">
        <v>66</v>
      </c>
      <c r="C67" t="s">
        <v>76</v>
      </c>
      <c r="D67" s="8">
        <v>3200</v>
      </c>
    </row>
    <row r="68" spans="1:4" x14ac:dyDescent="0.25">
      <c r="A68">
        <v>2022</v>
      </c>
      <c r="B68" t="s">
        <v>59</v>
      </c>
      <c r="C68" t="s">
        <v>62</v>
      </c>
      <c r="D68" s="8">
        <v>23000</v>
      </c>
    </row>
    <row r="69" spans="1:4" x14ac:dyDescent="0.25">
      <c r="A69">
        <v>2020</v>
      </c>
      <c r="B69" t="s">
        <v>59</v>
      </c>
      <c r="C69" t="s">
        <v>61</v>
      </c>
      <c r="D69" s="8">
        <v>700</v>
      </c>
    </row>
    <row r="70" spans="1:4" x14ac:dyDescent="0.25">
      <c r="A70">
        <v>2020</v>
      </c>
      <c r="B70" t="s">
        <v>68</v>
      </c>
      <c r="C70" t="s">
        <v>70</v>
      </c>
      <c r="D70" s="8">
        <v>1300</v>
      </c>
    </row>
    <row r="71" spans="1:4" x14ac:dyDescent="0.25">
      <c r="A71">
        <v>2021</v>
      </c>
      <c r="B71" t="s">
        <v>59</v>
      </c>
      <c r="C71" t="s">
        <v>82</v>
      </c>
      <c r="D71" s="8">
        <v>1300</v>
      </c>
    </row>
    <row r="72" spans="1:4" x14ac:dyDescent="0.25">
      <c r="A72">
        <v>2021</v>
      </c>
      <c r="B72" t="s">
        <v>59</v>
      </c>
      <c r="C72" t="s">
        <v>63</v>
      </c>
      <c r="D72" s="8">
        <v>22100</v>
      </c>
    </row>
    <row r="73" spans="1:4" x14ac:dyDescent="0.25">
      <c r="A73">
        <v>2022</v>
      </c>
      <c r="B73" t="s">
        <v>57</v>
      </c>
      <c r="C73" t="s">
        <v>85</v>
      </c>
      <c r="D73" s="8">
        <v>3100</v>
      </c>
    </row>
    <row r="74" spans="1:4" x14ac:dyDescent="0.25">
      <c r="A74">
        <v>2020</v>
      </c>
      <c r="B74" t="s">
        <v>59</v>
      </c>
      <c r="C74" t="s">
        <v>78</v>
      </c>
      <c r="D74" s="8">
        <v>500</v>
      </c>
    </row>
    <row r="75" spans="1:4" x14ac:dyDescent="0.25">
      <c r="A75">
        <v>2022</v>
      </c>
      <c r="B75" t="s">
        <v>66</v>
      </c>
      <c r="C75" t="s">
        <v>81</v>
      </c>
      <c r="D75" s="8">
        <v>3100</v>
      </c>
    </row>
    <row r="76" spans="1:4" x14ac:dyDescent="0.25">
      <c r="A76">
        <v>2020</v>
      </c>
      <c r="B76" t="s">
        <v>57</v>
      </c>
      <c r="C76" t="s">
        <v>58</v>
      </c>
      <c r="D76" s="8">
        <v>8700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B241E6-AE4C-4EA5-96CC-6E77ABF1BB4A}">
  <ds:schemaRefs>
    <ds:schemaRef ds:uri="http://schemas.microsoft.com/DataMashup"/>
  </ds:schemaRefs>
</ds:datastoreItem>
</file>

<file path=customXml/itemProps2.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3.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C00B319-165B-4AE8-A6AE-EED707A1FD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Copyright</vt:lpstr>
      <vt:lpstr>Function List</vt:lpstr>
      <vt:lpstr>Standard Aggregations</vt:lpstr>
      <vt:lpstr>Conditional Aggregations</vt:lpstr>
      <vt:lpstr>Logic</vt:lpstr>
      <vt:lpstr>Lookup</vt:lpstr>
      <vt:lpstr>Financial</vt:lpstr>
      <vt:lpstr>Dates</vt:lpstr>
      <vt:lpstr>More Resources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Philip Treacy</cp:lastModifiedBy>
  <cp:revision/>
  <dcterms:created xsi:type="dcterms:W3CDTF">2019-12-23T04:48:23Z</dcterms:created>
  <dcterms:modified xsi:type="dcterms:W3CDTF">2023-08-08T09:05:10Z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