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04"/>
  <workbookPr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Copilot Agents/"/>
    </mc:Choice>
  </mc:AlternateContent>
  <xr:revisionPtr revIDLastSave="196" documentId="8_{36A6A59A-D935-4787-8AED-6EAF44E52640}" xr6:coauthVersionLast="47" xr6:coauthVersionMax="47" xr10:uidLastSave="{FA356544-1994-4BB1-A539-28BFAC700F0B}"/>
  <bookViews>
    <workbookView xWindow="-120" yWindow="-120" windowWidth="29040" windowHeight="15720" activeTab="1" xr2:uid="{A65FE6F5-15F2-44CC-B068-6B4CF5A76416}"/>
  </bookViews>
  <sheets>
    <sheet name="Copyright" sheetId="5" r:id="rId1"/>
    <sheet name="Inputs" sheetId="1" r:id="rId2"/>
    <sheet name="Projection" sheetId="2" r:id="rId3"/>
    <sheet name="Drawdown" sheetId="3" r:id="rId4"/>
    <sheet name="Dashboard" sheetId="4" r:id="rId5"/>
    <sheet name="More Resources" sheetId="6" r:id="rId6"/>
  </sheets>
  <definedNames>
    <definedName name="AnnualContribution">IF(ContributionFrequency="Monthly", AnnualContributionInput*12, AnnualContributionInput)</definedName>
    <definedName name="AnnualContributionInput">Inputs!$B$5</definedName>
    <definedName name="ContributionFrequency">Inputs!$B$6</definedName>
    <definedName name="CurrentAge">Inputs!$B$2</definedName>
    <definedName name="CurrentBalance">Inputs!$B$4</definedName>
    <definedName name="InflationRate">Inputs!$B$10</definedName>
    <definedName name="LifeExpectancy">Inputs!$B$11</definedName>
    <definedName name="PostRetRate">Inputs!$B$8</definedName>
    <definedName name="PreRetRate">Inputs!$B$7</definedName>
    <definedName name="ProjectionYears">LifeExpectancy-CurrentAge+1</definedName>
    <definedName name="RetireAge">Inputs!$B$3</definedName>
    <definedName name="RetirementYears">LifeExpectancy-RetireAge+1</definedName>
    <definedName name="RetStartIndex">RetireAge-CurrentAge</definedName>
    <definedName name="SpendingToday">Inputs!$B$9</definedName>
    <definedName name="SSAmount">Inputs!$B$13</definedName>
    <definedName name="SSIncome">IF(SSToggle="Yes", SSAmount, 0)</definedName>
    <definedName name="SSToggle">Inputs!$B$12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3" l="1" a="1"/>
  <c r="F2" i="3"/>
  <c r="F3" i="3" a="1"/>
  <c r="F3" i="3"/>
  <c r="F4" i="3" a="1"/>
  <c r="F4" i="3"/>
  <c r="F5" i="3" a="1"/>
  <c r="F5" i="3"/>
  <c r="F6" i="3" a="1"/>
  <c r="F6" i="3"/>
  <c r="F7" i="3" a="1"/>
  <c r="F7" i="3"/>
  <c r="F8" i="3" a="1"/>
  <c r="F8" i="3"/>
  <c r="F9" i="3" a="1"/>
  <c r="F9" i="3"/>
  <c r="F10" i="3" a="1"/>
  <c r="F10" i="3"/>
  <c r="F11" i="3" a="1"/>
  <c r="F11" i="3"/>
  <c r="F12" i="3" a="1"/>
  <c r="F12" i="3"/>
  <c r="F13" i="3" a="1"/>
  <c r="F13" i="3"/>
  <c r="F14" i="3" a="1"/>
  <c r="F14" i="3"/>
  <c r="F15" i="3" a="1"/>
  <c r="F15" i="3"/>
  <c r="F16" i="3" a="1"/>
  <c r="F16" i="3"/>
  <c r="F17" i="3" a="1"/>
  <c r="F17" i="3"/>
  <c r="F18" i="3" a="1"/>
  <c r="F18" i="3"/>
  <c r="F19" i="3" a="1"/>
  <c r="F19" i="3"/>
  <c r="F20" i="3" a="1"/>
  <c r="F20" i="3"/>
  <c r="F21" i="3" a="1"/>
  <c r="F21" i="3"/>
  <c r="F22" i="3" a="1"/>
  <c r="F22" i="3"/>
  <c r="F23" i="3" a="1"/>
  <c r="F23" i="3"/>
  <c r="F24" i="3" a="1"/>
  <c r="F24" i="3" s="1"/>
  <c r="G24" i="3" s="1"/>
  <c r="F25" i="3" a="1"/>
  <c r="F25" i="3"/>
  <c r="F26" i="3" a="1"/>
  <c r="F26" i="3"/>
  <c r="F27" i="3" a="1"/>
  <c r="F27" i="3"/>
  <c r="E2" i="3" a="1"/>
  <c r="E2" i="3"/>
  <c r="G2" i="3" s="1"/>
  <c r="E3" i="3" a="1"/>
  <c r="E3" i="3"/>
  <c r="G3" i="3" s="1"/>
  <c r="E4" i="3" a="1"/>
  <c r="E4" i="3"/>
  <c r="G4" i="3" s="1"/>
  <c r="E5" i="3" a="1"/>
  <c r="E5" i="3"/>
  <c r="G5" i="3" s="1"/>
  <c r="E6" i="3" a="1"/>
  <c r="E6" i="3"/>
  <c r="G6" i="3" s="1"/>
  <c r="E7" i="3" a="1"/>
  <c r="E7" i="3"/>
  <c r="G7" i="3" s="1"/>
  <c r="E8" i="3" a="1"/>
  <c r="E8" i="3"/>
  <c r="G8" i="3" s="1"/>
  <c r="E9" i="3" a="1"/>
  <c r="E9" i="3"/>
  <c r="G9" i="3" s="1"/>
  <c r="E10" i="3" a="1"/>
  <c r="E10" i="3"/>
  <c r="G10" i="3" s="1"/>
  <c r="E11" i="3" a="1"/>
  <c r="E11" i="3"/>
  <c r="G11" i="3" s="1"/>
  <c r="E12" i="3" a="1"/>
  <c r="E12" i="3"/>
  <c r="G12" i="3" s="1"/>
  <c r="E13" i="3" a="1"/>
  <c r="E13" i="3"/>
  <c r="G13" i="3" s="1"/>
  <c r="E14" i="3" a="1"/>
  <c r="E14" i="3"/>
  <c r="G14" i="3" s="1"/>
  <c r="E15" i="3" a="1"/>
  <c r="E15" i="3"/>
  <c r="G15" i="3" s="1"/>
  <c r="E16" i="3" a="1"/>
  <c r="E16" i="3"/>
  <c r="G16" i="3" s="1"/>
  <c r="E17" i="3" a="1"/>
  <c r="E17" i="3"/>
  <c r="G17" i="3" s="1"/>
  <c r="E18" i="3" a="1"/>
  <c r="E18" i="3"/>
  <c r="G18" i="3" s="1"/>
  <c r="E19" i="3" a="1"/>
  <c r="E19" i="3"/>
  <c r="G19" i="3" s="1"/>
  <c r="E20" i="3" a="1"/>
  <c r="E20" i="3"/>
  <c r="G20" i="3" s="1"/>
  <c r="E21" i="3" a="1"/>
  <c r="E21" i="3"/>
  <c r="G21" i="3" s="1"/>
  <c r="E22" i="3" a="1"/>
  <c r="E22" i="3"/>
  <c r="G22" i="3" s="1"/>
  <c r="E23" i="3" a="1"/>
  <c r="E23" i="3"/>
  <c r="G23" i="3" s="1"/>
  <c r="E24" i="3" a="1"/>
  <c r="E24" i="3"/>
  <c r="E25" i="3" a="1"/>
  <c r="E25" i="3"/>
  <c r="G25" i="3" s="1"/>
  <c r="E26" i="3" a="1"/>
  <c r="E26" i="3"/>
  <c r="G26" i="3" s="1"/>
  <c r="E27" i="3" a="1"/>
  <c r="E27" i="3"/>
  <c r="G27" i="3" s="1"/>
  <c r="B2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C2" i="2"/>
  <c r="B2" i="2"/>
  <c r="B3" i="2"/>
  <c r="F3" i="2" s="1"/>
  <c r="B4" i="2"/>
  <c r="F4" i="2" s="1"/>
  <c r="B5" i="2"/>
  <c r="F5" i="2" s="1"/>
  <c r="B6" i="2"/>
  <c r="F6" i="2" s="1"/>
  <c r="B7" i="2"/>
  <c r="F7" i="2" s="1"/>
  <c r="B8" i="2"/>
  <c r="F8" i="2" s="1"/>
  <c r="B9" i="2"/>
  <c r="F9" i="2" s="1"/>
  <c r="B10" i="2"/>
  <c r="F10" i="2" s="1"/>
  <c r="B11" i="2"/>
  <c r="F11" i="2" s="1"/>
  <c r="B12" i="2"/>
  <c r="F12" i="2" s="1"/>
  <c r="B13" i="2"/>
  <c r="F13" i="2" s="1"/>
  <c r="B14" i="2"/>
  <c r="F14" i="2" s="1"/>
  <c r="B15" i="2"/>
  <c r="F15" i="2" s="1"/>
  <c r="B16" i="2"/>
  <c r="F16" i="2" s="1"/>
  <c r="B17" i="2"/>
  <c r="F17" i="2" s="1"/>
  <c r="B18" i="2"/>
  <c r="F18" i="2" s="1"/>
  <c r="B19" i="2"/>
  <c r="F19" i="2" s="1"/>
  <c r="B20" i="2"/>
  <c r="F20" i="2" s="1"/>
  <c r="B21" i="2"/>
  <c r="F21" i="2" s="1"/>
  <c r="B22" i="2"/>
  <c r="F22" i="2" s="1"/>
  <c r="B23" i="2"/>
  <c r="F23" i="2" s="1"/>
  <c r="B24" i="2"/>
  <c r="F24" i="2" s="1"/>
  <c r="B25" i="2"/>
  <c r="F25" i="2" s="1"/>
  <c r="B26" i="2"/>
  <c r="F26" i="2" s="1"/>
  <c r="B27" i="2"/>
  <c r="F27" i="2" s="1"/>
  <c r="B28" i="2"/>
  <c r="F28" i="2" s="1"/>
  <c r="B29" i="2"/>
  <c r="F29" i="2" s="1"/>
  <c r="B30" i="2"/>
  <c r="F30" i="2" s="1"/>
  <c r="B31" i="2"/>
  <c r="F31" i="2" s="1"/>
  <c r="B32" i="2"/>
  <c r="F32" i="2" s="1"/>
  <c r="B33" i="2"/>
  <c r="F33" i="2" s="1"/>
  <c r="B34" i="2"/>
  <c r="F34" i="2" s="1"/>
  <c r="B35" i="2"/>
  <c r="F35" i="2" s="1"/>
  <c r="B36" i="2"/>
  <c r="F36" i="2" s="1"/>
  <c r="B37" i="2"/>
  <c r="F37" i="2" s="1"/>
  <c r="B38" i="2"/>
  <c r="F38" i="2" s="1"/>
  <c r="B39" i="2"/>
  <c r="F39" i="2" s="1"/>
  <c r="B40" i="2"/>
  <c r="F40" i="2" s="1"/>
  <c r="B41" i="2"/>
  <c r="F41" i="2" s="1"/>
  <c r="B42" i="2"/>
  <c r="F42" i="2" s="1"/>
  <c r="B43" i="2"/>
  <c r="F43" i="2" s="1"/>
  <c r="B44" i="2"/>
  <c r="F44" i="2" s="1"/>
  <c r="B45" i="2"/>
  <c r="F45" i="2" s="1"/>
  <c r="B46" i="2"/>
  <c r="F46" i="2" s="1"/>
  <c r="B47" i="2"/>
  <c r="F47" i="2" s="1"/>
  <c r="B48" i="2"/>
  <c r="F48" i="2" s="1"/>
  <c r="B49" i="2"/>
  <c r="F49" i="2" s="1"/>
  <c r="B50" i="2"/>
  <c r="F50" i="2" s="1"/>
  <c r="B51" i="2"/>
  <c r="F51" i="2" s="1"/>
  <c r="B52" i="2"/>
  <c r="F52" i="2" s="1"/>
  <c r="B53" i="2"/>
  <c r="F53" i="2" s="1"/>
  <c r="B54" i="2"/>
  <c r="F54" i="2" s="1"/>
  <c r="B55" i="2"/>
  <c r="F55" i="2" s="1"/>
  <c r="B56" i="2"/>
  <c r="F56" i="2" s="1"/>
  <c r="B57" i="2"/>
  <c r="F57" i="2" s="1"/>
  <c r="F2" i="2" l="1"/>
  <c r="F9" i="4" s="1" a="1"/>
  <c r="D9" i="4" a="1"/>
  <c r="A9" i="4" a="1"/>
  <c r="D57" i="2" a="1"/>
  <c r="D57" i="2" s="1"/>
  <c r="D56" i="2" a="1"/>
  <c r="D56" i="2" s="1"/>
  <c r="D55" i="2" a="1"/>
  <c r="D55" i="2" s="1"/>
  <c r="D54" i="2" a="1"/>
  <c r="D54" i="2" s="1"/>
  <c r="D53" i="2" a="1"/>
  <c r="D53" i="2" s="1"/>
  <c r="D52" i="2" a="1"/>
  <c r="D52" i="2" s="1"/>
  <c r="D51" i="2" a="1"/>
  <c r="D51" i="2" s="1"/>
  <c r="D50" i="2" a="1"/>
  <c r="D50" i="2" s="1"/>
  <c r="D49" i="2" a="1"/>
  <c r="D49" i="2" s="1"/>
  <c r="D48" i="2" a="1"/>
  <c r="D48" i="2" s="1"/>
  <c r="D47" i="2" a="1"/>
  <c r="D47" i="2" s="1"/>
  <c r="D46" i="2" a="1"/>
  <c r="D46" i="2" s="1"/>
  <c r="D45" i="2" a="1"/>
  <c r="D45" i="2" s="1"/>
  <c r="D44" i="2" a="1"/>
  <c r="D44" i="2" s="1"/>
  <c r="D43" i="2" a="1"/>
  <c r="D43" i="2" s="1"/>
  <c r="D42" i="2" a="1"/>
  <c r="D42" i="2" s="1"/>
  <c r="D41" i="2" a="1"/>
  <c r="D41" i="2" s="1"/>
  <c r="D40" i="2" a="1"/>
  <c r="D40" i="2" s="1"/>
  <c r="D39" i="2" a="1"/>
  <c r="D39" i="2" s="1"/>
  <c r="D38" i="2" a="1"/>
  <c r="D38" i="2" s="1"/>
  <c r="D37" i="2" a="1"/>
  <c r="D37" i="2" s="1"/>
  <c r="D36" i="2" a="1"/>
  <c r="D36" i="2" s="1"/>
  <c r="D35" i="2" a="1"/>
  <c r="D35" i="2" s="1"/>
  <c r="D34" i="2" a="1"/>
  <c r="D34" i="2" s="1"/>
  <c r="D33" i="2" a="1"/>
  <c r="D33" i="2" s="1"/>
  <c r="D32" i="2" a="1"/>
  <c r="D32" i="2" s="1"/>
  <c r="D31" i="2" a="1"/>
  <c r="D31" i="2" s="1"/>
  <c r="D30" i="2" a="1"/>
  <c r="D30" i="2" s="1"/>
  <c r="D29" i="2" a="1"/>
  <c r="D29" i="2" s="1"/>
  <c r="D28" i="2" a="1"/>
  <c r="D28" i="2" s="1"/>
  <c r="D27" i="2" a="1"/>
  <c r="D27" i="2" s="1"/>
  <c r="D26" i="2" a="1"/>
  <c r="D26" i="2" s="1"/>
  <c r="D25" i="2" a="1"/>
  <c r="D25" i="2" s="1"/>
  <c r="D24" i="2" a="1"/>
  <c r="D24" i="2" s="1"/>
  <c r="D23" i="2" a="1"/>
  <c r="D23" i="2" s="1"/>
  <c r="D22" i="2" a="1"/>
  <c r="D22" i="2" s="1"/>
  <c r="D21" i="2" a="1"/>
  <c r="D21" i="2" s="1"/>
  <c r="D20" i="2" a="1"/>
  <c r="D20" i="2" s="1"/>
  <c r="D19" i="2" a="1"/>
  <c r="D19" i="2" s="1"/>
  <c r="D18" i="2" a="1"/>
  <c r="D18" i="2" s="1"/>
  <c r="D17" i="2" a="1"/>
  <c r="D17" i="2" s="1"/>
  <c r="D16" i="2" a="1"/>
  <c r="D16" i="2" s="1"/>
  <c r="D15" i="2" a="1"/>
  <c r="D15" i="2" s="1"/>
  <c r="D14" i="2" a="1"/>
  <c r="D14" i="2" s="1"/>
  <c r="D13" i="2" a="1"/>
  <c r="D13" i="2" s="1"/>
  <c r="D12" i="2" a="1"/>
  <c r="D12" i="2" s="1"/>
  <c r="D11" i="2" a="1"/>
  <c r="D11" i="2" s="1"/>
  <c r="D10" i="2" a="1"/>
  <c r="D10" i="2" s="1"/>
  <c r="D9" i="2" a="1"/>
  <c r="D9" i="2" s="1"/>
  <c r="D8" i="2" a="1"/>
  <c r="D8" i="2" s="1"/>
  <c r="D7" i="2" a="1"/>
  <c r="D7" i="2" s="1"/>
  <c r="D6" i="2" a="1"/>
  <c r="D6" i="2" s="1"/>
  <c r="D5" i="2" a="1"/>
  <c r="D5" i="2" s="1"/>
  <c r="D4" i="2" a="1"/>
  <c r="D4" i="2" s="1"/>
  <c r="D3" i="2" a="1"/>
  <c r="D3" i="2" s="1"/>
  <c r="D2" i="2" a="1"/>
  <c r="D2" i="2" s="1"/>
  <c r="E2" i="2"/>
  <c r="A9" i="4" l="1"/>
  <c r="D9" i="4"/>
  <c r="F9" i="4"/>
  <c r="G2" i="2"/>
  <c r="E9" i="4" a="1"/>
  <c r="E9" i="4" l="1"/>
  <c r="C3" i="2"/>
  <c r="G3" i="2" l="1"/>
  <c r="E3" i="2"/>
  <c r="C4" i="2" l="1"/>
  <c r="G4" i="2" l="1"/>
  <c r="E4" i="2"/>
  <c r="C5" i="2" l="1"/>
  <c r="G5" i="2" l="1"/>
  <c r="E5" i="2"/>
  <c r="C6" i="2" l="1"/>
  <c r="G6" i="2" l="1"/>
  <c r="E6" i="2"/>
  <c r="C7" i="2" l="1"/>
  <c r="G7" i="2" l="1"/>
  <c r="E7" i="2"/>
  <c r="C8" i="2" l="1"/>
  <c r="G8" i="2" l="1"/>
  <c r="E8" i="2"/>
  <c r="C9" i="2" l="1"/>
  <c r="G9" i="2" l="1"/>
  <c r="E9" i="2"/>
  <c r="C10" i="2" l="1"/>
  <c r="G10" i="2" l="1"/>
  <c r="E10" i="2"/>
  <c r="C11" i="2" l="1"/>
  <c r="G11" i="2" l="1"/>
  <c r="E11" i="2"/>
  <c r="C12" i="2" l="1"/>
  <c r="G12" i="2" l="1"/>
  <c r="E12" i="2"/>
  <c r="C13" i="2" l="1"/>
  <c r="G13" i="2" l="1"/>
  <c r="E13" i="2"/>
  <c r="C14" i="2" l="1"/>
  <c r="G14" i="2" l="1"/>
  <c r="E14" i="2"/>
  <c r="C15" i="2" l="1"/>
  <c r="G15" i="2" l="1"/>
  <c r="E15" i="2"/>
  <c r="C16" i="2" l="1"/>
  <c r="G16" i="2" l="1"/>
  <c r="E16" i="2"/>
  <c r="C17" i="2" l="1"/>
  <c r="G17" i="2" l="1"/>
  <c r="E17" i="2"/>
  <c r="C18" i="2" l="1"/>
  <c r="G18" i="2" l="1"/>
  <c r="E18" i="2"/>
  <c r="C19" i="2" l="1"/>
  <c r="G19" i="2" l="1"/>
  <c r="E19" i="2"/>
  <c r="C20" i="2" l="1"/>
  <c r="G20" i="2" l="1"/>
  <c r="E20" i="2"/>
  <c r="C21" i="2" l="1"/>
  <c r="G21" i="2" l="1"/>
  <c r="E21" i="2"/>
  <c r="C22" i="2" l="1"/>
  <c r="G22" i="2" l="1"/>
  <c r="E22" i="2"/>
  <c r="C23" i="2" l="1"/>
  <c r="G23" i="2" l="1"/>
  <c r="E23" i="2"/>
  <c r="C24" i="2" l="1"/>
  <c r="G24" i="2" l="1"/>
  <c r="E24" i="2"/>
  <c r="C25" i="2" l="1"/>
  <c r="G25" i="2" l="1"/>
  <c r="E25" i="2"/>
  <c r="C26" i="2" l="1"/>
  <c r="G26" i="2" l="1"/>
  <c r="E26" i="2"/>
  <c r="C27" i="2" l="1"/>
  <c r="G27" i="2" l="1"/>
  <c r="E27" i="2"/>
  <c r="C28" i="2" l="1"/>
  <c r="G28" i="2" l="1"/>
  <c r="E28" i="2"/>
  <c r="C29" i="2" l="1"/>
  <c r="G29" i="2" l="1"/>
  <c r="E29" i="2"/>
  <c r="C30" i="2" l="1"/>
  <c r="G30" i="2" l="1"/>
  <c r="E30" i="2"/>
  <c r="C31" i="2" l="1"/>
  <c r="G31" i="2" l="1"/>
  <c r="E31" i="2"/>
  <c r="C32" i="2" l="1"/>
  <c r="B3" i="4" l="1"/>
  <c r="C2" i="3"/>
  <c r="G32" i="2"/>
  <c r="E32" i="2"/>
  <c r="C33" i="2" l="1"/>
  <c r="D2" i="3"/>
  <c r="H2" i="3"/>
  <c r="C3" i="3" s="1"/>
  <c r="D3" i="3" l="1"/>
  <c r="H3" i="3"/>
  <c r="C4" i="3" s="1"/>
  <c r="G33" i="2"/>
  <c r="E33" i="2"/>
  <c r="C34" i="2" l="1"/>
  <c r="D4" i="3"/>
  <c r="H4" i="3"/>
  <c r="C5" i="3" s="1"/>
  <c r="D5" i="3" l="1"/>
  <c r="H5" i="3"/>
  <c r="C6" i="3" s="1"/>
  <c r="G34" i="2"/>
  <c r="E34" i="2"/>
  <c r="C35" i="2" l="1"/>
  <c r="D6" i="3"/>
  <c r="H6" i="3"/>
  <c r="C7" i="3" s="1"/>
  <c r="D7" i="3" l="1"/>
  <c r="H7" i="3"/>
  <c r="C8" i="3" s="1"/>
  <c r="G35" i="2"/>
  <c r="E35" i="2"/>
  <c r="C36" i="2" l="1"/>
  <c r="D8" i="3"/>
  <c r="H8" i="3"/>
  <c r="C9" i="3" s="1"/>
  <c r="D9" i="3" l="1"/>
  <c r="H9" i="3"/>
  <c r="C10" i="3" s="1"/>
  <c r="G36" i="2"/>
  <c r="E36" i="2"/>
  <c r="C37" i="2" l="1"/>
  <c r="D10" i="3"/>
  <c r="H10" i="3"/>
  <c r="C11" i="3" s="1"/>
  <c r="D11" i="3" l="1"/>
  <c r="H11" i="3"/>
  <c r="C12" i="3" s="1"/>
  <c r="G37" i="2"/>
  <c r="E37" i="2"/>
  <c r="C38" i="2" l="1"/>
  <c r="D12" i="3"/>
  <c r="H12" i="3"/>
  <c r="C13" i="3" s="1"/>
  <c r="D13" i="3" l="1"/>
  <c r="H13" i="3"/>
  <c r="C14" i="3" s="1"/>
  <c r="G38" i="2"/>
  <c r="E38" i="2"/>
  <c r="C39" i="2" l="1"/>
  <c r="D14" i="3"/>
  <c r="H14" i="3"/>
  <c r="C15" i="3" s="1"/>
  <c r="D15" i="3" l="1"/>
  <c r="H15" i="3"/>
  <c r="C16" i="3" s="1"/>
  <c r="G39" i="2"/>
  <c r="E39" i="2"/>
  <c r="C40" i="2" l="1"/>
  <c r="D16" i="3"/>
  <c r="H16" i="3"/>
  <c r="C17" i="3" s="1"/>
  <c r="D17" i="3" l="1"/>
  <c r="H17" i="3"/>
  <c r="C18" i="3" s="1"/>
  <c r="G40" i="2"/>
  <c r="E40" i="2"/>
  <c r="C41" i="2" l="1"/>
  <c r="D18" i="3"/>
  <c r="H18" i="3"/>
  <c r="C19" i="3" s="1"/>
  <c r="D19" i="3" l="1"/>
  <c r="H19" i="3"/>
  <c r="C20" i="3" s="1"/>
  <c r="G41" i="2"/>
  <c r="E41" i="2"/>
  <c r="C42" i="2" l="1"/>
  <c r="D20" i="3"/>
  <c r="H20" i="3"/>
  <c r="C21" i="3" s="1"/>
  <c r="D21" i="3" l="1"/>
  <c r="H21" i="3"/>
  <c r="C22" i="3" s="1"/>
  <c r="G42" i="2"/>
  <c r="E42" i="2"/>
  <c r="C43" i="2" l="1"/>
  <c r="D22" i="3"/>
  <c r="H22" i="3"/>
  <c r="C23" i="3" s="1"/>
  <c r="D23" i="3" l="1"/>
  <c r="H23" i="3"/>
  <c r="C24" i="3" s="1"/>
  <c r="G43" i="2"/>
  <c r="E43" i="2"/>
  <c r="C44" i="2" l="1"/>
  <c r="D24" i="3"/>
  <c r="H24" i="3"/>
  <c r="C25" i="3" s="1"/>
  <c r="D25" i="3" l="1"/>
  <c r="H25" i="3"/>
  <c r="C26" i="3" s="1"/>
  <c r="G44" i="2"/>
  <c r="E44" i="2"/>
  <c r="C45" i="2" l="1"/>
  <c r="D26" i="3"/>
  <c r="H26" i="3"/>
  <c r="C27" i="3" s="1"/>
  <c r="D27" i="3" l="1"/>
  <c r="H27" i="3"/>
  <c r="G45" i="2"/>
  <c r="E45" i="2"/>
  <c r="C46" i="2" l="1"/>
  <c r="G46" i="2" l="1"/>
  <c r="E46" i="2"/>
  <c r="C47" i="2" l="1"/>
  <c r="G47" i="2" l="1"/>
  <c r="E47" i="2"/>
  <c r="C48" i="2" l="1"/>
  <c r="G48" i="2" l="1"/>
  <c r="E48" i="2"/>
  <c r="C49" i="2" l="1"/>
  <c r="G49" i="2" l="1"/>
  <c r="E49" i="2"/>
  <c r="C50" i="2" l="1"/>
  <c r="G50" i="2" l="1"/>
  <c r="E50" i="2"/>
  <c r="C51" i="2" l="1"/>
  <c r="G51" i="2" l="1"/>
  <c r="E51" i="2"/>
  <c r="C52" i="2" l="1"/>
  <c r="G52" i="2" l="1"/>
  <c r="E52" i="2"/>
  <c r="C53" i="2" l="1"/>
  <c r="G53" i="2" l="1"/>
  <c r="E53" i="2"/>
  <c r="C54" i="2" l="1"/>
  <c r="G54" i="2" l="1"/>
  <c r="E54" i="2"/>
  <c r="C55" i="2" l="1"/>
  <c r="G55" i="2" l="1"/>
  <c r="E55" i="2"/>
  <c r="C56" i="2" l="1"/>
  <c r="G56" i="2" l="1"/>
  <c r="E56" i="2"/>
  <c r="C57" i="2" l="1"/>
  <c r="G57" i="2" l="1"/>
  <c r="E57" i="2"/>
  <c r="B9" i="4" l="1" a="1"/>
  <c r="B5" i="4" a="1"/>
  <c r="B5" i="4" s="1"/>
  <c r="B4" i="4" a="1"/>
  <c r="B4" i="4" s="1"/>
  <c r="B9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<sst xmlns="http://schemas.openxmlformats.org/spreadsheetml/2006/main" count="129" uniqueCount="111">
  <si>
    <t>Parameter</t>
  </si>
  <si>
    <t>Value</t>
  </si>
  <si>
    <t>Unit</t>
  </si>
  <si>
    <t>Notes</t>
  </si>
  <si>
    <t>Retirement Planner Inputs</t>
  </si>
  <si>
    <t>Current Age</t>
  </si>
  <si>
    <t>years</t>
  </si>
  <si>
    <t>Your current age</t>
  </si>
  <si>
    <t>Planned Retirement Age</t>
  </si>
  <si>
    <t>Target retirement age</t>
  </si>
  <si>
    <t>Current Retirement Savings Balance</t>
  </si>
  <si>
    <t>currency</t>
  </si>
  <si>
    <t>All retirement accounts</t>
  </si>
  <si>
    <t>Annual Contribution</t>
  </si>
  <si>
    <t>Amount you add each year</t>
  </si>
  <si>
    <t>Contribution Frequency</t>
  </si>
  <si>
    <t>Annual</t>
  </si>
  <si>
    <t>choice</t>
  </si>
  <si>
    <t>Monthly or Annual</t>
  </si>
  <si>
    <t>Expected Annual Investment Return (Pre-Retirement)</t>
  </si>
  <si>
    <t>rate</t>
  </si>
  <si>
    <t>Average annual return before retirement</t>
  </si>
  <si>
    <t>Expected Annual Return During Retirement (Post-Retirement)</t>
  </si>
  <si>
    <t>Average annual return after retirement</t>
  </si>
  <si>
    <t>Annual Spending Needed in Retirement (Today's $)</t>
  </si>
  <si>
    <t>Before Social Security</t>
  </si>
  <si>
    <t>Expected Inflation Rate</t>
  </si>
  <si>
    <t>Long-run inflation assumption</t>
  </si>
  <si>
    <t>Life Expectancy Age</t>
  </si>
  <si>
    <t>Model until this age</t>
  </si>
  <si>
    <t>State Pension / Social Security?</t>
  </si>
  <si>
    <t>Yes</t>
  </si>
  <si>
    <t>Toggle Yes/No</t>
  </si>
  <si>
    <t>Social Security Annual Amount</t>
  </si>
  <si>
    <t>Annual benefit when retired</t>
  </si>
  <si>
    <t>Year</t>
  </si>
  <si>
    <t>Age</t>
  </si>
  <si>
    <t>Starting Balance</t>
  </si>
  <si>
    <t>Contributions/Income</t>
  </si>
  <si>
    <t>Investment Growth</t>
  </si>
  <si>
    <t>Retirement Withdrawals (inflation-adjusted)</t>
  </si>
  <si>
    <t>Ending Balance</t>
  </si>
  <si>
    <t>Year in Retirement</t>
  </si>
  <si>
    <t>Spending (infl adj)</t>
  </si>
  <si>
    <t>SS Income</t>
  </si>
  <si>
    <t>Net Withdrawal</t>
  </si>
  <si>
    <t>🏖️ Retirement Planning Dashboard</t>
  </si>
  <si>
    <t>Total Savings at Retirement:</t>
  </si>
  <si>
    <t>Year Index Money Runs Out:</t>
  </si>
  <si>
    <t>Age When Money Runs Out:</t>
  </si>
  <si>
    <t>Withdrawals</t>
  </si>
  <si>
    <t>Copyright Notice</t>
  </si>
  <si>
    <r>
      <t xml:space="preserve">Recreating the examples for training or demonstration to others is </t>
    </r>
    <r>
      <rPr>
        <b/>
        <sz val="14"/>
        <rFont val="Aptos Narrow"/>
        <family val="2"/>
        <scheme val="minor"/>
      </rPr>
      <t>not permitted</t>
    </r>
    <r>
      <rPr>
        <sz val="14"/>
        <rFont val="Aptos Narrow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</si>
  <si>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</si>
  <si>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</si>
  <si>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</si>
  <si>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</si>
  <si>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</si>
  <si>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</si>
  <si>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</si>
  <si>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</si>
  <si>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</si>
  <si>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</si>
  <si>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</si>
  <si>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</si>
  <si>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</si>
  <si>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</si>
  <si>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</si>
  <si>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</si>
  <si>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</si>
  <si>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</si>
  <si>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</si>
  <si>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</si>
  <si>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</si>
  <si>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</si>
  <si>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</si>
  <si>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</si>
  <si>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</si>
  <si>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</si>
  <si>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</si>
  <si>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</si>
  <si>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</si>
  <si>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</si>
  <si>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</si>
  <si>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</si>
  <si>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</si>
  <si>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</si>
  <si>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</si>
  <si>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</si>
  <si>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</si>
  <si>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</si>
  <si>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</si>
  <si>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</si>
  <si>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</si>
  <si>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</si>
  <si>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</si>
  <si>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</si>
  <si>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</si>
  <si>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</si>
  <si>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</si>
  <si>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</si>
  <si>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</si>
  <si>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</si>
  <si>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</si>
  <si>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</si>
  <si>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</si>
  <si>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</si>
  <si>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</si>
  <si>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</si>
  <si>
    <t>The content in this file was created by Mynda Treacy from My Online Training Hub with the use of Copilot Agents.</t>
  </si>
  <si>
    <r>
      <t xml:space="preserve">This file is the unedited version created by the Copilot Agent inclusive of any potential errors and omissions and </t>
    </r>
    <r>
      <rPr>
        <b/>
        <sz val="14"/>
        <rFont val="Aptos Narrow"/>
        <family val="2"/>
        <scheme val="minor"/>
      </rPr>
      <t xml:space="preserve">should not be relied upon for retirement planning.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</si>
</sst>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"/>
    <numFmt numFmtId="165" formatCode="@*."/>
  </numFmts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b/>
      <sz val="16"/>
      <color rgb="FFFFFFFF"/>
      <name val="Aptos Narrow"/>
      <family val="2"/>
      <scheme val="minor"/>
    </font>
    <font>
      <sz val="28"/>
      <color theme="0"/>
      <name val="Segoe UI Light"/>
      <family val="2"/>
    </font>
    <font>
      <sz val="14"/>
      <name val="Aptos Narrow"/>
      <family val="2"/>
      <scheme val="minor"/>
    </font>
    <font>
      <b/>
      <sz val="14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E90FF"/>
        <bgColor indexed="64"/>
      </patternFill>
    </fill>
    <fill>
      <patternFill patternType="solid">
        <fgColor rgb="FFF3F6FA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F5511"/>
        <bgColor indexed="64"/>
      </patternFill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8">
    <xf numFmtId="0" fontId="0" fillId="0" borderId="0" xfId="0"/>
    <xf numFmtId="1" fontId="0" fillId="0" borderId="0" xfId="0" applyNumberFormat="1"/>
    <xf numFmtId="164" fontId="0" fillId="0" borderId="0" xfId="0" applyNumberFormat="1"/>
    <xf numFmtId="49" fontId="0" fillId="0" borderId="0" xfId="0" applyNumberFormat="1"/>
    <xf numFmtId="10" fontId="0" fillId="0" borderId="0" xfId="0" applyNumberFormat="1"/>
    <xf numFmtId="1" fontId="1" fillId="3" borderId="0" xfId="0" applyNumberFormat="1" applyFont="1" applyFill="1"/>
    <xf numFmtId="164" fontId="1" fillId="3" borderId="0" xfId="0" applyNumberFormat="1" applyFont="1" applyFill="1"/>
    <xf numFmtId="0" fontId="1" fillId="0" borderId="0" xfId="0" applyFont="1"/>
    <xf numFmtId="0" fontId="1" fillId="4" borderId="0" xfId="0" applyFont="1" applyFill="1"/>
    <xf numFmtId="0" fontId="4" fillId="5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4" fillId="6" borderId="0" xfId="0" applyFont="1" applyFill="1" applyAlignment="1">
      <alignment vertical="center"/>
    </xf>
    <xf numFmtId="165" fontId="0" fillId="0" borderId="0" xfId="0" applyNumberFormat="1" applyAlignment="1">
      <alignment horizontal="left" indent="1"/>
    </xf>
    <xf numFmtId="0" fontId="7" fillId="0" borderId="0" xfId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</cellXfs>
  <cellStyles count="2">
    <cellStyle name="Hyperlink" xfId="1" builtinId="8"/>
    <cellStyle name="Normal" xfId="0" builtinId="0"/>
  </cellStyles>
  <dxfs count="18">
    <dxf>
      <font>
        <color rgb="FF9C0006"/>
      </font>
      <fill>
        <patternFill patternType="solid">
          <fgColor indexed="64"/>
          <bgColor rgb="FFFDEDEE"/>
        </patternFill>
      </fill>
    </dxf>
    <dxf>
      <font>
        <color rgb="FF9C0006"/>
      </font>
      <fill>
        <patternFill patternType="solid">
          <fgColor indexed="64"/>
          <bgColor rgb="FFFDEDEE"/>
        </patternFill>
      </fill>
    </dxf>
    <dxf>
      <numFmt numFmtId="164" formatCode="&quot;£&quot;#,##0"/>
    </dxf>
    <dxf>
      <numFmt numFmtId="164" formatCode="&quot;£&quot;#,##0"/>
    </dxf>
    <dxf>
      <numFmt numFmtId="164" formatCode="&quot;£&quot;#,##0"/>
    </dxf>
    <dxf>
      <numFmt numFmtId="164" formatCode="&quot;£&quot;#,##0"/>
    </dxf>
    <dxf>
      <numFmt numFmtId="164" formatCode="&quot;£&quot;#,##0"/>
    </dxf>
    <dxf>
      <numFmt numFmtId="164" formatCode="&quot;£&quot;#,##0"/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4"/>
        </patternFill>
      </fill>
    </dxf>
    <dxf>
      <numFmt numFmtId="164" formatCode="&quot;£&quot;#,##0"/>
    </dxf>
    <dxf>
      <numFmt numFmtId="164" formatCode="&quot;£&quot;#,##0"/>
    </dxf>
    <dxf>
      <numFmt numFmtId="164" formatCode="&quot;£&quot;#,##0"/>
    </dxf>
    <dxf>
      <numFmt numFmtId="164" formatCode="&quot;£&quot;#,##0"/>
    </dxf>
    <dxf>
      <numFmt numFmtId="164" formatCode="&quot;£&quot;#,##0"/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4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Balance Over Time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Dashboard!$A$8</c:f>
              <c:strCache>
                <c:ptCount val="1"/>
                <c:pt idx="0">
                  <c:v>Age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Dashboard!$A$9:$A$64</c:f>
              <c:numCache>
                <c:formatCode>General</c:formatCode>
                <c:ptCount val="56"/>
                <c:pt idx="0">
                  <c:v>35</c:v>
                </c:pt>
                <c:pt idx="1">
                  <c:v>36</c:v>
                </c:pt>
                <c:pt idx="2">
                  <c:v>37</c:v>
                </c:pt>
                <c:pt idx="3">
                  <c:v>38</c:v>
                </c:pt>
                <c:pt idx="4">
                  <c:v>39</c:v>
                </c:pt>
                <c:pt idx="5">
                  <c:v>40</c:v>
                </c:pt>
                <c:pt idx="6">
                  <c:v>41</c:v>
                </c:pt>
                <c:pt idx="7">
                  <c:v>42</c:v>
                </c:pt>
                <c:pt idx="8">
                  <c:v>43</c:v>
                </c:pt>
                <c:pt idx="9">
                  <c:v>44</c:v>
                </c:pt>
                <c:pt idx="10">
                  <c:v>45</c:v>
                </c:pt>
                <c:pt idx="11">
                  <c:v>46</c:v>
                </c:pt>
                <c:pt idx="12">
                  <c:v>47</c:v>
                </c:pt>
                <c:pt idx="13">
                  <c:v>48</c:v>
                </c:pt>
                <c:pt idx="14">
                  <c:v>49</c:v>
                </c:pt>
                <c:pt idx="15">
                  <c:v>50</c:v>
                </c:pt>
                <c:pt idx="16">
                  <c:v>51</c:v>
                </c:pt>
                <c:pt idx="17">
                  <c:v>52</c:v>
                </c:pt>
                <c:pt idx="18">
                  <c:v>53</c:v>
                </c:pt>
                <c:pt idx="19">
                  <c:v>54</c:v>
                </c:pt>
                <c:pt idx="20">
                  <c:v>55</c:v>
                </c:pt>
                <c:pt idx="21">
                  <c:v>56</c:v>
                </c:pt>
                <c:pt idx="22">
                  <c:v>57</c:v>
                </c:pt>
                <c:pt idx="23">
                  <c:v>58</c:v>
                </c:pt>
                <c:pt idx="24">
                  <c:v>59</c:v>
                </c:pt>
                <c:pt idx="25">
                  <c:v>60</c:v>
                </c:pt>
                <c:pt idx="26">
                  <c:v>61</c:v>
                </c:pt>
                <c:pt idx="27">
                  <c:v>62</c:v>
                </c:pt>
                <c:pt idx="28">
                  <c:v>63</c:v>
                </c:pt>
                <c:pt idx="29">
                  <c:v>64</c:v>
                </c:pt>
                <c:pt idx="30">
                  <c:v>65</c:v>
                </c:pt>
                <c:pt idx="31">
                  <c:v>66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70</c:v>
                </c:pt>
                <c:pt idx="36">
                  <c:v>71</c:v>
                </c:pt>
                <c:pt idx="37">
                  <c:v>72</c:v>
                </c:pt>
                <c:pt idx="38">
                  <c:v>73</c:v>
                </c:pt>
                <c:pt idx="39">
                  <c:v>74</c:v>
                </c:pt>
                <c:pt idx="40">
                  <c:v>75</c:v>
                </c:pt>
                <c:pt idx="41">
                  <c:v>76</c:v>
                </c:pt>
                <c:pt idx="42">
                  <c:v>77</c:v>
                </c:pt>
                <c:pt idx="43">
                  <c:v>78</c:v>
                </c:pt>
                <c:pt idx="44">
                  <c:v>79</c:v>
                </c:pt>
                <c:pt idx="45">
                  <c:v>80</c:v>
                </c:pt>
                <c:pt idx="46">
                  <c:v>81</c:v>
                </c:pt>
                <c:pt idx="47">
                  <c:v>82</c:v>
                </c:pt>
                <c:pt idx="48">
                  <c:v>83</c:v>
                </c:pt>
                <c:pt idx="49">
                  <c:v>84</c:v>
                </c:pt>
                <c:pt idx="50">
                  <c:v>85</c:v>
                </c:pt>
                <c:pt idx="51">
                  <c:v>86</c:v>
                </c:pt>
                <c:pt idx="52">
                  <c:v>87</c:v>
                </c:pt>
                <c:pt idx="53">
                  <c:v>88</c:v>
                </c:pt>
                <c:pt idx="54">
                  <c:v>89</c:v>
                </c:pt>
                <c:pt idx="55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3-D833-4C5C-A8A0-4671C64124AC}"/>
            </c:ext>
          </c:extLst>
        </c:ser>
        <c:ser>
          <c:idx val="1"/>
          <c:order val="1"/>
          <c:tx>
            <c:strRef>
              <c:f>Dashboard!$B$8</c:f>
              <c:strCache>
                <c:ptCount val="1"/>
                <c:pt idx="0">
                  <c:v>Ending Balance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Dashboard!$B$9:$B$64</c:f>
              <c:numCache>
                <c:formatCode>General</c:formatCode>
                <c:ptCount val="56"/>
                <c:pt idx="0" formatCode="&quot;£&quot;#,##0">
                  <c:v>175500</c:v>
                </c:pt>
                <c:pt idx="1">
                  <c:v>202785</c:v>
                </c:pt>
                <c:pt idx="2">
                  <c:v>231979.95</c:v>
                </c:pt>
                <c:pt idx="3">
                  <c:v>263218.54650000005</c:v>
                </c:pt>
                <c:pt idx="4">
                  <c:v>296643.84475500009</c:v>
                </c:pt>
                <c:pt idx="5">
                  <c:v>332408.91388785013</c:v>
                </c:pt>
                <c:pt idx="6">
                  <c:v>370677.53785999963</c:v>
                </c:pt>
                <c:pt idx="7">
                  <c:v>411624.9655101996</c:v>
                </c:pt>
                <c:pt idx="8">
                  <c:v>455438.71309591358</c:v>
                </c:pt>
                <c:pt idx="9">
                  <c:v>502319.42301262758</c:v>
                </c:pt>
                <c:pt idx="10">
                  <c:v>552481.78262351151</c:v>
                </c:pt>
                <c:pt idx="11">
                  <c:v>606155.50740715733</c:v>
                </c:pt>
                <c:pt idx="12">
                  <c:v>663586.39292565838</c:v>
                </c:pt>
                <c:pt idx="13">
                  <c:v>725037.44043045456</c:v>
                </c:pt>
                <c:pt idx="14">
                  <c:v>790790.06126058637</c:v>
                </c:pt>
                <c:pt idx="15">
                  <c:v>861145.36554882745</c:v>
                </c:pt>
                <c:pt idx="16">
                  <c:v>936425.54113724548</c:v>
                </c:pt>
                <c:pt idx="17">
                  <c:v>1016975.3290168528</c:v>
                </c:pt>
                <c:pt idx="18">
                  <c:v>1103163.6020480325</c:v>
                </c:pt>
                <c:pt idx="19">
                  <c:v>1195385.0541913947</c:v>
                </c:pt>
                <c:pt idx="20">
                  <c:v>1294062.0079847923</c:v>
                </c:pt>
                <c:pt idx="21">
                  <c:v>1399646.348543728</c:v>
                </c:pt>
                <c:pt idx="22">
                  <c:v>1512621.592941789</c:v>
                </c:pt>
                <c:pt idx="23">
                  <c:v>1633505.1044477143</c:v>
                </c:pt>
                <c:pt idx="24">
                  <c:v>1762850.4617590543</c:v>
                </c:pt>
                <c:pt idx="25">
                  <c:v>1901249.9940821882</c:v>
                </c:pt>
                <c:pt idx="26">
                  <c:v>2049337.4936679415</c:v>
                </c:pt>
                <c:pt idx="27">
                  <c:v>2207791.1182246977</c:v>
                </c:pt>
                <c:pt idx="28">
                  <c:v>2377336.4965004264</c:v>
                </c:pt>
                <c:pt idx="29">
                  <c:v>2558750.0512554566</c:v>
                </c:pt>
                <c:pt idx="30">
                  <c:v>2553245.9985607676</c:v>
                </c:pt>
                <c:pt idx="31">
                  <c:v>2544375.4323896682</c:v>
                </c:pt>
                <c:pt idx="32">
                  <c:v>2531925.0334188868</c:v>
                </c:pt>
                <c:pt idx="33">
                  <c:v>2515670.9830826153</c:v>
                </c:pt>
                <c:pt idx="34">
                  <c:v>2495378.4944410669</c:v>
                </c:pt>
                <c:pt idx="35">
                  <c:v>2470801.3230547351</c:v>
                </c:pt>
                <c:pt idx="36">
                  <c:v>2441681.257033851</c:v>
                </c:pt>
                <c:pt idx="37">
                  <c:v>2407747.5853985543</c:v>
                </c:pt>
                <c:pt idx="38">
                  <c:v>2368716.5438499297</c:v>
                </c:pt>
                <c:pt idx="39">
                  <c:v>2324290.7370152459</c:v>
                </c:pt>
                <c:pt idx="40">
                  <c:v>2274158.5361924581</c:v>
                </c:pt>
                <c:pt idx="41">
                  <c:v>2217993.4515791736</c:v>
                </c:pt>
                <c:pt idx="42">
                  <c:v>2155453.4779298329</c:v>
                </c:pt>
                <c:pt idx="43">
                  <c:v>2086180.4125417061</c:v>
                </c:pt>
                <c:pt idx="44">
                  <c:v>2009799.144425421</c:v>
                </c:pt>
                <c:pt idx="45">
                  <c:v>1925916.9134690361</c:v>
                </c:pt>
                <c:pt idx="46">
                  <c:v>1834122.5383560606</c:v>
                </c:pt>
                <c:pt idx="47">
                  <c:v>1733985.6119472727</c:v>
                </c:pt>
                <c:pt idx="48">
                  <c:v>1625055.6627835575</c:v>
                </c:pt>
                <c:pt idx="49">
                  <c:v>1506861.2813122536</c:v>
                </c:pt>
                <c:pt idx="50">
                  <c:v>1378909.2093825312</c:v>
                </c:pt>
                <c:pt idx="51">
                  <c:v>1240683.3914960646</c:v>
                </c:pt>
                <c:pt idx="52">
                  <c:v>1091643.9862375953</c:v>
                </c:pt>
                <c:pt idx="53">
                  <c:v>931226.33624582936</c:v>
                </c:pt>
                <c:pt idx="54">
                  <c:v>758839.89501836093</c:v>
                </c:pt>
                <c:pt idx="55">
                  <c:v>573867.10877486132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74-D833-4C5C-A8A0-4671C6412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81967368"/>
        <c:axId val="985794056"/>
      </c:lineChart>
      <c:catAx>
        <c:axId val="1781967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5794056"/>
        <c:crosses val="autoZero"/>
        <c:auto val="1"/>
        <c:lblAlgn val="ctr"/>
        <c:lblOffset val="100"/>
        <c:noMultiLvlLbl val="0"/>
      </c:catAx>
      <c:valAx>
        <c:axId val="985794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1967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Contributions vs Withdrawals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Dashboard!$D$8</c:f>
              <c:strCache>
                <c:ptCount val="1"/>
                <c:pt idx="0">
                  <c:v>Age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Dashboard!$D$9:$D$64</c:f>
              <c:numCache>
                <c:formatCode>General</c:formatCode>
                <c:ptCount val="56"/>
                <c:pt idx="0">
                  <c:v>35</c:v>
                </c:pt>
                <c:pt idx="1">
                  <c:v>36</c:v>
                </c:pt>
                <c:pt idx="2">
                  <c:v>37</c:v>
                </c:pt>
                <c:pt idx="3">
                  <c:v>38</c:v>
                </c:pt>
                <c:pt idx="4">
                  <c:v>39</c:v>
                </c:pt>
                <c:pt idx="5">
                  <c:v>40</c:v>
                </c:pt>
                <c:pt idx="6">
                  <c:v>41</c:v>
                </c:pt>
                <c:pt idx="7">
                  <c:v>42</c:v>
                </c:pt>
                <c:pt idx="8">
                  <c:v>43</c:v>
                </c:pt>
                <c:pt idx="9">
                  <c:v>44</c:v>
                </c:pt>
                <c:pt idx="10">
                  <c:v>45</c:v>
                </c:pt>
                <c:pt idx="11">
                  <c:v>46</c:v>
                </c:pt>
                <c:pt idx="12">
                  <c:v>47</c:v>
                </c:pt>
                <c:pt idx="13">
                  <c:v>48</c:v>
                </c:pt>
                <c:pt idx="14">
                  <c:v>49</c:v>
                </c:pt>
                <c:pt idx="15">
                  <c:v>50</c:v>
                </c:pt>
                <c:pt idx="16">
                  <c:v>51</c:v>
                </c:pt>
                <c:pt idx="17">
                  <c:v>52</c:v>
                </c:pt>
                <c:pt idx="18">
                  <c:v>53</c:v>
                </c:pt>
                <c:pt idx="19">
                  <c:v>54</c:v>
                </c:pt>
                <c:pt idx="20">
                  <c:v>55</c:v>
                </c:pt>
                <c:pt idx="21">
                  <c:v>56</c:v>
                </c:pt>
                <c:pt idx="22">
                  <c:v>57</c:v>
                </c:pt>
                <c:pt idx="23">
                  <c:v>58</c:v>
                </c:pt>
                <c:pt idx="24">
                  <c:v>59</c:v>
                </c:pt>
                <c:pt idx="25">
                  <c:v>60</c:v>
                </c:pt>
                <c:pt idx="26">
                  <c:v>61</c:v>
                </c:pt>
                <c:pt idx="27">
                  <c:v>62</c:v>
                </c:pt>
                <c:pt idx="28">
                  <c:v>63</c:v>
                </c:pt>
                <c:pt idx="29">
                  <c:v>64</c:v>
                </c:pt>
                <c:pt idx="30">
                  <c:v>65</c:v>
                </c:pt>
                <c:pt idx="31">
                  <c:v>66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70</c:v>
                </c:pt>
                <c:pt idx="36">
                  <c:v>71</c:v>
                </c:pt>
                <c:pt idx="37">
                  <c:v>72</c:v>
                </c:pt>
                <c:pt idx="38">
                  <c:v>73</c:v>
                </c:pt>
                <c:pt idx="39">
                  <c:v>74</c:v>
                </c:pt>
                <c:pt idx="40">
                  <c:v>75</c:v>
                </c:pt>
                <c:pt idx="41">
                  <c:v>76</c:v>
                </c:pt>
                <c:pt idx="42">
                  <c:v>77</c:v>
                </c:pt>
                <c:pt idx="43">
                  <c:v>78</c:v>
                </c:pt>
                <c:pt idx="44">
                  <c:v>79</c:v>
                </c:pt>
                <c:pt idx="45">
                  <c:v>80</c:v>
                </c:pt>
                <c:pt idx="46">
                  <c:v>81</c:v>
                </c:pt>
                <c:pt idx="47">
                  <c:v>82</c:v>
                </c:pt>
                <c:pt idx="48">
                  <c:v>83</c:v>
                </c:pt>
                <c:pt idx="49">
                  <c:v>84</c:v>
                </c:pt>
                <c:pt idx="50">
                  <c:v>85</c:v>
                </c:pt>
                <c:pt idx="51">
                  <c:v>86</c:v>
                </c:pt>
                <c:pt idx="52">
                  <c:v>87</c:v>
                </c:pt>
                <c:pt idx="53">
                  <c:v>88</c:v>
                </c:pt>
                <c:pt idx="54">
                  <c:v>89</c:v>
                </c:pt>
                <c:pt idx="55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73-650C-4888-9E94-61A8A6976265}"/>
            </c:ext>
          </c:extLst>
        </c:ser>
        <c:ser>
          <c:idx val="1"/>
          <c:order val="1"/>
          <c:tx>
            <c:strRef>
              <c:f>Dashboard!$E$8</c:f>
              <c:strCache>
                <c:ptCount val="1"/>
                <c:pt idx="0">
                  <c:v>Contributions/Income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Dashboard!$E$9:$E$64</c:f>
              <c:numCache>
                <c:formatCode>General</c:formatCode>
                <c:ptCount val="56"/>
                <c:pt idx="0" formatCode="&quot;£&quot;#,##0">
                  <c:v>15000</c:v>
                </c:pt>
                <c:pt idx="1">
                  <c:v>15000</c:v>
                </c:pt>
                <c:pt idx="2">
                  <c:v>15000</c:v>
                </c:pt>
                <c:pt idx="3">
                  <c:v>15000</c:v>
                </c:pt>
                <c:pt idx="4">
                  <c:v>15000</c:v>
                </c:pt>
                <c:pt idx="5">
                  <c:v>15000</c:v>
                </c:pt>
                <c:pt idx="6">
                  <c:v>15000</c:v>
                </c:pt>
                <c:pt idx="7">
                  <c:v>15000</c:v>
                </c:pt>
                <c:pt idx="8">
                  <c:v>15000</c:v>
                </c:pt>
                <c:pt idx="9">
                  <c:v>15000</c:v>
                </c:pt>
                <c:pt idx="10">
                  <c:v>15000</c:v>
                </c:pt>
                <c:pt idx="11">
                  <c:v>15000</c:v>
                </c:pt>
                <c:pt idx="12">
                  <c:v>15000</c:v>
                </c:pt>
                <c:pt idx="13">
                  <c:v>15000</c:v>
                </c:pt>
                <c:pt idx="14">
                  <c:v>15000</c:v>
                </c:pt>
                <c:pt idx="15">
                  <c:v>15000</c:v>
                </c:pt>
                <c:pt idx="16">
                  <c:v>15000</c:v>
                </c:pt>
                <c:pt idx="17">
                  <c:v>15000</c:v>
                </c:pt>
                <c:pt idx="18">
                  <c:v>15000</c:v>
                </c:pt>
                <c:pt idx="19">
                  <c:v>15000</c:v>
                </c:pt>
                <c:pt idx="20">
                  <c:v>15000</c:v>
                </c:pt>
                <c:pt idx="21">
                  <c:v>15000</c:v>
                </c:pt>
                <c:pt idx="22">
                  <c:v>15000</c:v>
                </c:pt>
                <c:pt idx="23">
                  <c:v>15000</c:v>
                </c:pt>
                <c:pt idx="24">
                  <c:v>15000</c:v>
                </c:pt>
                <c:pt idx="25">
                  <c:v>15000</c:v>
                </c:pt>
                <c:pt idx="26">
                  <c:v>15000</c:v>
                </c:pt>
                <c:pt idx="27">
                  <c:v>15000</c:v>
                </c:pt>
                <c:pt idx="28">
                  <c:v>15000</c:v>
                </c:pt>
                <c:pt idx="29">
                  <c:v>15000</c:v>
                </c:pt>
                <c:pt idx="30">
                  <c:v>18000</c:v>
                </c:pt>
                <c:pt idx="31">
                  <c:v>18000</c:v>
                </c:pt>
                <c:pt idx="32">
                  <c:v>18000</c:v>
                </c:pt>
                <c:pt idx="33">
                  <c:v>18000</c:v>
                </c:pt>
                <c:pt idx="34">
                  <c:v>18000</c:v>
                </c:pt>
                <c:pt idx="35">
                  <c:v>18000</c:v>
                </c:pt>
                <c:pt idx="36">
                  <c:v>18000</c:v>
                </c:pt>
                <c:pt idx="37">
                  <c:v>18000</c:v>
                </c:pt>
                <c:pt idx="38">
                  <c:v>18000</c:v>
                </c:pt>
                <c:pt idx="39">
                  <c:v>18000</c:v>
                </c:pt>
                <c:pt idx="40">
                  <c:v>18000</c:v>
                </c:pt>
                <c:pt idx="41">
                  <c:v>18000</c:v>
                </c:pt>
                <c:pt idx="42">
                  <c:v>18000</c:v>
                </c:pt>
                <c:pt idx="43">
                  <c:v>18000</c:v>
                </c:pt>
                <c:pt idx="44">
                  <c:v>18000</c:v>
                </c:pt>
                <c:pt idx="45">
                  <c:v>18000</c:v>
                </c:pt>
                <c:pt idx="46">
                  <c:v>18000</c:v>
                </c:pt>
                <c:pt idx="47">
                  <c:v>18000</c:v>
                </c:pt>
                <c:pt idx="48">
                  <c:v>18000</c:v>
                </c:pt>
                <c:pt idx="49">
                  <c:v>18000</c:v>
                </c:pt>
                <c:pt idx="50">
                  <c:v>18000</c:v>
                </c:pt>
                <c:pt idx="51">
                  <c:v>18000</c:v>
                </c:pt>
                <c:pt idx="52">
                  <c:v>18000</c:v>
                </c:pt>
                <c:pt idx="53">
                  <c:v>18000</c:v>
                </c:pt>
                <c:pt idx="54">
                  <c:v>18000</c:v>
                </c:pt>
                <c:pt idx="55">
                  <c:v>18000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74-650C-4888-9E94-61A8A6976265}"/>
            </c:ext>
          </c:extLst>
        </c:ser>
        <c:ser>
          <c:idx val="2"/>
          <c:order val="2"/>
          <c:tx>
            <c:strRef>
              <c:f>Dashboard!$F$8</c:f>
              <c:strCache>
                <c:ptCount val="1"/>
                <c:pt idx="0">
                  <c:v>Withdrawals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Dashboard!$F$9:$F$64</c:f>
              <c:numCache>
                <c:formatCode>General</c:formatCode>
                <c:ptCount val="56"/>
                <c:pt idx="0" formatCode="&quot;£&quot;#,##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125854.05474490728</c:v>
                </c:pt>
                <c:pt idx="31">
                  <c:v>129000.40611353</c:v>
                </c:pt>
                <c:pt idx="32">
                  <c:v>132225.41626636821</c:v>
                </c:pt>
                <c:pt idx="33">
                  <c:v>135531.05167302742</c:v>
                </c:pt>
                <c:pt idx="34">
                  <c:v>138919.32796485312</c:v>
                </c:pt>
                <c:pt idx="35">
                  <c:v>142392.3111639744</c:v>
                </c:pt>
                <c:pt idx="36">
                  <c:v>145952.11894307379</c:v>
                </c:pt>
                <c:pt idx="37">
                  <c:v>149600.92191665061</c:v>
                </c:pt>
                <c:pt idx="38">
                  <c:v>153340.94496456685</c:v>
                </c:pt>
                <c:pt idx="39">
                  <c:v>157174.46858868102</c:v>
                </c:pt>
                <c:pt idx="40">
                  <c:v>161103.83030339802</c:v>
                </c:pt>
                <c:pt idx="41">
                  <c:v>165131.42606098298</c:v>
                </c:pt>
                <c:pt idx="42">
                  <c:v>169259.71171250756</c:v>
                </c:pt>
                <c:pt idx="43">
                  <c:v>173491.20450532023</c:v>
                </c:pt>
                <c:pt idx="44">
                  <c:v>177828.48461795322</c:v>
                </c:pt>
                <c:pt idx="45">
                  <c:v>182274.19673340206</c:v>
                </c:pt>
                <c:pt idx="46">
                  <c:v>186831.05165173707</c:v>
                </c:pt>
                <c:pt idx="47">
                  <c:v>191501.82794303054</c:v>
                </c:pt>
                <c:pt idx="48">
                  <c:v>196289.37364160627</c:v>
                </c:pt>
                <c:pt idx="49">
                  <c:v>201196.60798264641</c:v>
                </c:pt>
                <c:pt idx="50">
                  <c:v>206226.52318221258</c:v>
                </c:pt>
                <c:pt idx="51">
                  <c:v>211382.1862617679</c:v>
                </c:pt>
                <c:pt idx="52">
                  <c:v>216666.74091831208</c:v>
                </c:pt>
                <c:pt idx="53">
                  <c:v>222083.40944126985</c:v>
                </c:pt>
                <c:pt idx="54">
                  <c:v>227635.49467730158</c:v>
                </c:pt>
                <c:pt idx="55">
                  <c:v>233326.38204423411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75-650C-4888-9E94-61A8A69762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62937608"/>
        <c:axId val="1262939656"/>
      </c:barChart>
      <c:catAx>
        <c:axId val="1262937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2939656"/>
        <c:crosses val="autoZero"/>
        <c:auto val="1"/>
        <c:lblAlgn val="ctr"/>
        <c:lblOffset val="100"/>
        <c:noMultiLvlLbl val="0"/>
      </c:catAx>
      <c:valAx>
        <c:axId val="1262939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62937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419100</xdr:colOff>
      <xdr:row>0</xdr:row>
      <xdr:rowOff>9525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E57982-479E-4C98-A222-FEBC507E6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6838950" y="9525"/>
          <a:ext cx="3238500" cy="64770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13</xdr:row>
      <xdr:rowOff>152400</xdr:rowOff>
    </xdr:from>
    <xdr:to>
      <xdr:col>11</xdr:col>
      <xdr:colOff>85725</xdr:colOff>
      <xdr:row>32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5C214DD-0D90-04ED-51B7-F5A651EA94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295275</xdr:colOff>
      <xdr:row>13</xdr:row>
      <xdr:rowOff>152400</xdr:rowOff>
    </xdr:from>
    <xdr:to>
      <xdr:col>22</xdr:col>
      <xdr:colOff>190500</xdr:colOff>
      <xdr:row>32</xdr:row>
      <xdr:rowOff>85725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95774A4-78EA-4130-2A7A-FA6B8E8E51C1}"/>
            </a:ext>
            <a:ext uri="{147F2762-F138-4A5C-976F-8EAC2B608ADB}">
              <a16:predDERef xmlns:a16="http://schemas.microsoft.com/office/drawing/2014/main" pred="{A5C214DD-0D90-04ED-51B7-F5A651EA94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2657475</xdr:colOff>
      <xdr:row>0</xdr:row>
      <xdr:rowOff>0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98F362A-AF30-4E8B-B911-57DA4B0E4B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6010275" y="0"/>
          <a:ext cx="3238500" cy="647700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FAE61BA-0696-4196-92C5-FD4BAE9484B8}" name="tblInputs" displayName="tblInputs" ref="A1:D13" totalsRowShown="0" headerRowDxfId="17">
  <autoFilter ref="A1:D13" xr:uid="{4FAE61BA-0696-4196-92C5-FD4BAE9484B8}"/>
  <tableColumns count="4">
    <tableColumn id="1" xr3:uid="{F50861A6-A9FD-47B0-B3FB-C4AED311777C}" name="Parameter"/>
    <tableColumn id="2" xr3:uid="{49ADE7D9-D61C-419C-A862-F24A78D80BC1}" name="Value"/>
    <tableColumn id="3" xr3:uid="{51F77C59-4007-414C-A03D-7D1381609F65}" name="Unit"/>
    <tableColumn id="4" xr3:uid="{5632FF65-3D0B-4AB8-9767-B05276A00950}" name="Note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0E7B1F8-2467-47FD-BED7-3CC827BA5946}" name="tblProjection" displayName="tblProjection" ref="A1:G57" totalsRowShown="0" headerRowDxfId="16">
  <autoFilter ref="A1:G57" xr:uid="{90E7B1F8-2467-47FD-BED7-3CC827BA5946}"/>
  <tableColumns count="7">
    <tableColumn id="1" xr3:uid="{8CCCC6AE-B04C-4E1E-AAD8-3A2E355D7FF7}" name="Year"/>
    <tableColumn id="2" xr3:uid="{97B6F8F2-5E0D-4BC8-9F03-2CFF938A272C}" name="Age" dataDxfId="15">
      <calculatedColumnFormula>tblProjection[[#This Row],[Year]] + CurrentAge</calculatedColumnFormula>
    </tableColumn>
    <tableColumn id="3" xr3:uid="{89B867A1-2FC3-43E0-8E90-02D2C90198F8}" name="Starting Balance" dataDxfId="14">
      <calculatedColumnFormula>IF(tblProjection[[#This Row],[Year]]=0, CurrentBalance, _xlfn.XLOOKUP(tblProjection[[#This Row],[Year]]-1, tblProjection[Year], tblProjection[Ending Balance]))</calculatedColumnFormula>
    </tableColumn>
    <tableColumn id="4" xr3:uid="{73702262-AD84-4BB4-A2DB-C2BE14087DFF}" name="Contributions/Income" dataDxfId="13">
      <calculatedColumnFormula array="1">IF(tblProjection[[#This Row],[Age]] &lt; RetireAge, AnnualContribution, SSIncome)</calculatedColumnFormula>
    </tableColumn>
    <tableColumn id="5" xr3:uid="{1A83BBDB-506C-4B2B-A093-20D99DB21DC8}" name="Investment Growth" dataDxfId="12">
      <calculatedColumnFormula>IF(tblProjection[[#This Row],[Age]] &lt; RetireAge, PreRetRate, PostRetRate) * tblProjection[[#This Row],[Starting Balance]]</calculatedColumnFormula>
    </tableColumn>
    <tableColumn id="6" xr3:uid="{5EADB11B-920B-4751-AF86-A41A82B85F0A}" name="Retirement Withdrawals (inflation-adjusted)" dataDxfId="11">
      <calculatedColumnFormula>IF(tblProjection[[#This Row],[Age]] &lt; RetireAge, 0, SpendingToday * (1+InflationRate)^(tblProjection[[#This Row],[Year]]))</calculatedColumnFormula>
    </tableColumn>
    <tableColumn id="7" xr3:uid="{1D0B1634-50F2-4A41-9836-B9CC68EB8392}" name="Ending Balance" dataDxfId="10">
      <calculatedColumnFormula>tblProjection[[#This Row],[Starting Balance]] * (1 + IF(tblProjection[[#This Row],[Age]] &lt; RetireAge, PreRetRate, PostRetRate)) + tblProjection[[#This Row],[Contributions/Income]] - tblProjection[[#This Row],[Retirement Withdrawals (inflation-adjusted)]]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0791B4C-C2AF-4C3D-B87A-1C97EBA688AE}" name="tblDrawdown" displayName="tblDrawdown" ref="A1:H27" totalsRowShown="0" headerRowDxfId="9">
  <autoFilter ref="A1:H27" xr:uid="{40791B4C-C2AF-4C3D-B87A-1C97EBA688AE}"/>
  <tableColumns count="8">
    <tableColumn id="1" xr3:uid="{52A1F657-EC9E-41B2-A66E-A39866BACE3A}" name="Year in Retirement"/>
    <tableColumn id="2" xr3:uid="{3C74A00E-333B-4317-AC8B-052B6D2D878F}" name="Age" dataDxfId="8">
      <calculatedColumnFormula>RetireAge + tblDrawdown[[#This Row],[Year in Retirement]]</calculatedColumnFormula>
    </tableColumn>
    <tableColumn id="3" xr3:uid="{8C2E7894-5C78-41BD-8174-628A749267F8}" name="Starting Balance" dataDxfId="7">
      <calculatedColumnFormula>IF(tblDrawdown[[#This Row],[Year in Retirement]]=0, _xlfn.XLOOKUP(RetireAge, tblProjection[Age], tblProjection[Starting Balance]), _xlfn.XLOOKUP(tblDrawdown[[#This Row],[Year in Retirement]]-1, tblDrawdown[Year in Retirement], tblDrawdown[Ending Balance]))</calculatedColumnFormula>
    </tableColumn>
    <tableColumn id="4" xr3:uid="{0429825C-C0E7-46E9-BE6B-9B42B89459A5}" name="Investment Growth" dataDxfId="6">
      <calculatedColumnFormula>PostRetRate * tblDrawdown[[#This Row],[Starting Balance]]</calculatedColumnFormula>
    </tableColumn>
    <tableColumn id="5" xr3:uid="{F8F14A8C-E530-46D7-8E9E-4212E9925EED}" name="Spending (infl adj)" dataDxfId="5">
      <calculatedColumnFormula array="1">SpendingToday * (1+InflationRate)^(RetStartIndex + tblDrawdown[[#This Row],[Year in Retirement]])</calculatedColumnFormula>
    </tableColumn>
    <tableColumn id="6" xr3:uid="{1D84BCB8-B809-4F55-8BFC-AC229502B623}" name="SS Income" dataDxfId="4">
      <calculatedColumnFormula array="1">SSIncome</calculatedColumnFormula>
    </tableColumn>
    <tableColumn id="7" xr3:uid="{35BE2280-E63A-4A2B-B400-F9D584CB3822}" name="Net Withdrawal" dataDxfId="3">
      <calculatedColumnFormula>tblDrawdown[[#This Row],[Spending (infl adj)]] - tblDrawdown[[#This Row],[SS Income]]</calculatedColumnFormula>
    </tableColumn>
    <tableColumn id="8" xr3:uid="{919E57A9-0B86-4F06-BB8F-F61472F260DD}" name="Ending Balance" dataDxfId="2">
      <calculatedColumnFormula>tblDrawdown[[#This Row],[Starting Balance]] * (1+PostRetRate) - tblDrawdown[[#This Row],[Net Withdrawal]]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3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2B7DF-BB54-4268-9C6D-214667AF241C}">
  <dimension ref="A1:Q32"/>
  <sheetViews>
    <sheetView showGridLines="0" showRowColHeaders="0" workbookViewId="0">
      <selection activeCell="M6" sqref="M6"/>
    </sheetView>
  </sheetViews>
  <sheetFormatPr defaultColWidth="0" defaultRowHeight="15" customHeight="1" zeroHeight="1" x14ac:dyDescent="0.25"/>
  <cols>
    <col min="1" max="1" width="4.85546875" customWidth="1"/>
    <col min="2" max="17" width="9.140625" customWidth="1"/>
    <col min="18" max="16384" width="9.140625" hidden="1"/>
  </cols>
  <sheetData>
    <row r="1" spans="1:17" ht="52.5" customHeight="1" x14ac:dyDescent="0.25">
      <c r="A1" s="9"/>
      <c r="B1" s="9" t="s">
        <v>51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</row>
    <row r="2" spans="1:17" x14ac:dyDescent="0.25"/>
    <row r="3" spans="1:17" ht="18.75" x14ac:dyDescent="0.25">
      <c r="B3" s="10" t="s">
        <v>109</v>
      </c>
    </row>
    <row r="4" spans="1:17" ht="18.75" x14ac:dyDescent="0.25">
      <c r="B4" s="10"/>
    </row>
    <row r="5" spans="1:17" ht="39.950000000000003" customHeight="1" x14ac:dyDescent="0.25">
      <c r="B5" s="15" t="s">
        <v>110</v>
      </c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</row>
    <row r="6" spans="1:17" ht="18.75" customHeight="1" x14ac:dyDescent="0.25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17" ht="18.75" x14ac:dyDescent="0.25">
      <c r="B7" s="10" t="s">
        <v>52</v>
      </c>
    </row>
    <row r="8" spans="1:17" ht="18.75" x14ac:dyDescent="0.25">
      <c r="B8" s="10"/>
    </row>
    <row r="9" spans="1:17" ht="18.75" x14ac:dyDescent="0.25">
      <c r="B9" s="10" t="s">
        <v>53</v>
      </c>
    </row>
    <row r="10" spans="1:17" x14ac:dyDescent="0.25"/>
    <row r="11" spans="1:17" ht="18.75" x14ac:dyDescent="0.25">
      <c r="B11" s="10" t="s">
        <v>54</v>
      </c>
    </row>
    <row r="12" spans="1:17" x14ac:dyDescent="0.25"/>
    <row r="13" spans="1:17" ht="18.75" x14ac:dyDescent="0.25">
      <c r="B13" s="10" t="s">
        <v>55</v>
      </c>
    </row>
    <row r="17" spans="2:2" ht="15" customHeight="1" x14ac:dyDescent="0.25"/>
    <row r="18" spans="2:2" ht="15" customHeight="1" x14ac:dyDescent="0.25"/>
    <row r="32" spans="2:2" hidden="1" x14ac:dyDescent="0.25">
      <c r="B32" t="s">
        <v>56</v>
      </c>
    </row>
  </sheetData>
  <mergeCells count="1">
    <mergeCell ref="B5:Q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8DF1C-B98B-4A0A-8611-C977FFC51D63}">
  <dimension ref="A1:G13"/>
  <sheetViews>
    <sheetView tabSelected="1" workbookViewId="0">
      <selection activeCell="B6" sqref="B6"/>
    </sheetView>
  </sheetViews>
  <sheetFormatPr defaultRowHeight="15" x14ac:dyDescent="0.25"/>
  <cols>
    <col min="1" max="1" width="52.85546875" bestFit="1" customWidth="1"/>
    <col min="2" max="2" width="9" bestFit="1" customWidth="1"/>
    <col min="3" max="3" width="8.28515625" bestFit="1" customWidth="1"/>
    <col min="4" max="4" width="34.7109375" bestFit="1" customWidth="1"/>
  </cols>
  <sheetData>
    <row r="1" spans="1:7" ht="27.75" customHeight="1" x14ac:dyDescent="0.25">
      <c r="A1" s="8" t="s">
        <v>0</v>
      </c>
      <c r="B1" s="8" t="s">
        <v>1</v>
      </c>
      <c r="C1" s="8" t="s">
        <v>2</v>
      </c>
      <c r="D1" s="8" t="s">
        <v>3</v>
      </c>
      <c r="F1" s="16" t="s">
        <v>4</v>
      </c>
      <c r="G1" s="16"/>
    </row>
    <row r="2" spans="1:7" x14ac:dyDescent="0.25">
      <c r="A2" t="s">
        <v>5</v>
      </c>
      <c r="B2" s="1">
        <v>35</v>
      </c>
      <c r="C2" t="s">
        <v>6</v>
      </c>
      <c r="D2" t="s">
        <v>7</v>
      </c>
    </row>
    <row r="3" spans="1:7" x14ac:dyDescent="0.25">
      <c r="A3" t="s">
        <v>8</v>
      </c>
      <c r="B3" s="1">
        <v>65</v>
      </c>
      <c r="C3" t="s">
        <v>6</v>
      </c>
      <c r="D3" t="s">
        <v>9</v>
      </c>
    </row>
    <row r="4" spans="1:7" x14ac:dyDescent="0.25">
      <c r="A4" t="s">
        <v>10</v>
      </c>
      <c r="B4" s="2">
        <v>150000</v>
      </c>
      <c r="C4" t="s">
        <v>11</v>
      </c>
      <c r="D4" t="s">
        <v>12</v>
      </c>
    </row>
    <row r="5" spans="1:7" x14ac:dyDescent="0.25">
      <c r="A5" t="s">
        <v>13</v>
      </c>
      <c r="B5" s="2">
        <v>15000</v>
      </c>
      <c r="C5" t="s">
        <v>11</v>
      </c>
      <c r="D5" t="s">
        <v>14</v>
      </c>
    </row>
    <row r="6" spans="1:7" x14ac:dyDescent="0.25">
      <c r="A6" t="s">
        <v>15</v>
      </c>
      <c r="B6" s="3" t="s">
        <v>16</v>
      </c>
      <c r="C6" t="s">
        <v>17</v>
      </c>
      <c r="D6" t="s">
        <v>18</v>
      </c>
    </row>
    <row r="7" spans="1:7" x14ac:dyDescent="0.25">
      <c r="A7" t="s">
        <v>19</v>
      </c>
      <c r="B7" s="4">
        <v>7.0000000000000007E-2</v>
      </c>
      <c r="C7" t="s">
        <v>20</v>
      </c>
      <c r="D7" t="s">
        <v>21</v>
      </c>
    </row>
    <row r="8" spans="1:7" x14ac:dyDescent="0.25">
      <c r="A8" t="s">
        <v>22</v>
      </c>
      <c r="B8" s="4">
        <v>0.04</v>
      </c>
      <c r="C8" t="s">
        <v>20</v>
      </c>
      <c r="D8" t="s">
        <v>23</v>
      </c>
    </row>
    <row r="9" spans="1:7" x14ac:dyDescent="0.25">
      <c r="A9" t="s">
        <v>24</v>
      </c>
      <c r="B9" s="2">
        <v>60000</v>
      </c>
      <c r="C9" t="s">
        <v>11</v>
      </c>
      <c r="D9" t="s">
        <v>25</v>
      </c>
    </row>
    <row r="10" spans="1:7" x14ac:dyDescent="0.25">
      <c r="A10" t="s">
        <v>26</v>
      </c>
      <c r="B10" s="4">
        <v>2.5000000000000001E-2</v>
      </c>
      <c r="C10" t="s">
        <v>20</v>
      </c>
      <c r="D10" t="s">
        <v>27</v>
      </c>
    </row>
    <row r="11" spans="1:7" x14ac:dyDescent="0.25">
      <c r="A11" t="s">
        <v>28</v>
      </c>
      <c r="B11" s="1">
        <v>90</v>
      </c>
      <c r="C11" t="s">
        <v>6</v>
      </c>
      <c r="D11" t="s">
        <v>29</v>
      </c>
    </row>
    <row r="12" spans="1:7" x14ac:dyDescent="0.25">
      <c r="A12" t="s">
        <v>30</v>
      </c>
      <c r="B12" s="3" t="s">
        <v>31</v>
      </c>
      <c r="C12" t="s">
        <v>17</v>
      </c>
      <c r="D12" t="s">
        <v>32</v>
      </c>
    </row>
    <row r="13" spans="1:7" x14ac:dyDescent="0.25">
      <c r="A13" t="s">
        <v>33</v>
      </c>
      <c r="B13" s="2">
        <v>18000</v>
      </c>
      <c r="C13" t="s">
        <v>11</v>
      </c>
      <c r="D13" t="s">
        <v>34</v>
      </c>
    </row>
  </sheetData>
  <mergeCells count="1">
    <mergeCell ref="F1:G1"/>
  </mergeCells>
  <dataValidations count="2">
    <dataValidation type="list" allowBlank="1" showInputMessage="1" showErrorMessage="1" sqref="B6" xr:uid="{2E7EEA9A-5233-48F1-8EB6-D059865E627E}">
      <formula1>"Monthly,Annual"</formula1>
    </dataValidation>
    <dataValidation type="list" allowBlank="1" showInputMessage="1" showErrorMessage="1" sqref="B12" xr:uid="{F9581093-2BDF-400C-9D0F-34D514451F9F}">
      <formula1>"Yes,No"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387EB-3D35-4632-864B-239157DC9129}">
  <dimension ref="A1:G57"/>
  <sheetViews>
    <sheetView workbookViewId="0">
      <pane ySplit="1" topLeftCell="A2" activePane="bottomLeft" state="frozen"/>
      <selection pane="bottomLeft" activeCell="D3" sqref="D3"/>
    </sheetView>
  </sheetViews>
  <sheetFormatPr defaultRowHeight="15" x14ac:dyDescent="0.25"/>
  <cols>
    <col min="1" max="1" width="7.140625" bestFit="1" customWidth="1"/>
    <col min="2" max="2" width="6.42578125" bestFit="1" customWidth="1"/>
    <col min="3" max="3" width="17.7109375" bestFit="1" customWidth="1"/>
    <col min="4" max="4" width="22.85546875" bestFit="1" customWidth="1"/>
    <col min="5" max="5" width="20" bestFit="1" customWidth="1"/>
    <col min="6" max="6" width="42.140625" bestFit="1" customWidth="1"/>
    <col min="7" max="7" width="16.7109375" bestFit="1" customWidth="1"/>
  </cols>
  <sheetData>
    <row r="1" spans="1:7" x14ac:dyDescent="0.25">
      <c r="A1" s="8" t="s">
        <v>35</v>
      </c>
      <c r="B1" s="8" t="s">
        <v>36</v>
      </c>
      <c r="C1" s="8" t="s">
        <v>37</v>
      </c>
      <c r="D1" s="8" t="s">
        <v>38</v>
      </c>
      <c r="E1" s="8" t="s">
        <v>39</v>
      </c>
      <c r="F1" s="8" t="s">
        <v>40</v>
      </c>
      <c r="G1" s="8" t="s">
        <v>41</v>
      </c>
    </row>
    <row r="2" spans="1:7" x14ac:dyDescent="0.25">
      <c r="A2" s="5">
        <v>0</v>
      </c>
      <c r="B2" s="5">
        <f>tblProjection[[#This Row],[Year]] + CurrentAge</f>
        <v>35</v>
      </c>
      <c r="C2" s="6">
        <f>IF(tblProjection[[#This Row],[Year]]=0, CurrentBalance, _xlfn.XLOOKUP(tblProjection[[#This Row],[Year]]-1, tblProjection[Year], tblProjection[Ending Balance]))</f>
        <v>150000</v>
      </c>
      <c r="D2" s="6" cm="1">
        <f t="array" ref="D2">IF(tblProjection[[#This Row],[Age]] &lt; RetireAge, AnnualContribution, SSIncome)</f>
        <v>15000</v>
      </c>
      <c r="E2" s="6">
        <f>IF(tblProjection[[#This Row],[Age]] &lt; RetireAge, PreRetRate, PostRetRate) * tblProjection[[#This Row],[Starting Balance]]</f>
        <v>10500.000000000002</v>
      </c>
      <c r="F2" s="6">
        <f>IF(tblProjection[[#This Row],[Age]] &lt; RetireAge, 0, SpendingToday * (1+InflationRate)^(tblProjection[[#This Row],[Year]]))</f>
        <v>0</v>
      </c>
      <c r="G2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175500</v>
      </c>
    </row>
    <row r="3" spans="1:7" x14ac:dyDescent="0.25">
      <c r="A3" s="5">
        <v>1</v>
      </c>
      <c r="B3" s="5">
        <f>tblProjection[[#This Row],[Year]] + CurrentAge</f>
        <v>36</v>
      </c>
      <c r="C3" s="6">
        <f>IF(tblProjection[[#This Row],[Year]]=0, CurrentBalance, _xlfn.XLOOKUP(tblProjection[[#This Row],[Year]]-1, tblProjection[Year], tblProjection[Ending Balance]))</f>
        <v>175500</v>
      </c>
      <c r="D3" s="6" cm="1">
        <f t="array" ref="D3">IF(tblProjection[[#This Row],[Age]] &lt; RetireAge, AnnualContribution, SSIncome)</f>
        <v>15000</v>
      </c>
      <c r="E3" s="6">
        <f>IF(tblProjection[[#This Row],[Age]] &lt; RetireAge, PreRetRate, PostRetRate) * tblProjection[[#This Row],[Starting Balance]]</f>
        <v>12285.000000000002</v>
      </c>
      <c r="F3" s="6">
        <f>IF(tblProjection[[#This Row],[Age]] &lt; RetireAge, 0, SpendingToday * (1+InflationRate)^(tblProjection[[#This Row],[Year]]))</f>
        <v>0</v>
      </c>
      <c r="G3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202785</v>
      </c>
    </row>
    <row r="4" spans="1:7" x14ac:dyDescent="0.25">
      <c r="A4" s="5">
        <v>2</v>
      </c>
      <c r="B4" s="5">
        <f>tblProjection[[#This Row],[Year]] + CurrentAge</f>
        <v>37</v>
      </c>
      <c r="C4" s="6">
        <f>IF(tblProjection[[#This Row],[Year]]=0, CurrentBalance, _xlfn.XLOOKUP(tblProjection[[#This Row],[Year]]-1, tblProjection[Year], tblProjection[Ending Balance]))</f>
        <v>202785</v>
      </c>
      <c r="D4" s="6" cm="1">
        <f t="array" ref="D4">IF(tblProjection[[#This Row],[Age]] &lt; RetireAge, AnnualContribution, SSIncome)</f>
        <v>15000</v>
      </c>
      <c r="E4" s="6">
        <f>IF(tblProjection[[#This Row],[Age]] &lt; RetireAge, PreRetRate, PostRetRate) * tblProjection[[#This Row],[Starting Balance]]</f>
        <v>14194.95</v>
      </c>
      <c r="F4" s="6">
        <f>IF(tblProjection[[#This Row],[Age]] &lt; RetireAge, 0, SpendingToday * (1+InflationRate)^(tblProjection[[#This Row],[Year]]))</f>
        <v>0</v>
      </c>
      <c r="G4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231979.95</v>
      </c>
    </row>
    <row r="5" spans="1:7" x14ac:dyDescent="0.25">
      <c r="A5" s="5">
        <v>3</v>
      </c>
      <c r="B5" s="5">
        <f>tblProjection[[#This Row],[Year]] + CurrentAge</f>
        <v>38</v>
      </c>
      <c r="C5" s="6">
        <f>IF(tblProjection[[#This Row],[Year]]=0, CurrentBalance, _xlfn.XLOOKUP(tblProjection[[#This Row],[Year]]-1, tblProjection[Year], tblProjection[Ending Balance]))</f>
        <v>231979.95</v>
      </c>
      <c r="D5" s="6" cm="1">
        <f t="array" ref="D5">IF(tblProjection[[#This Row],[Age]] &lt; RetireAge, AnnualContribution, SSIncome)</f>
        <v>15000</v>
      </c>
      <c r="E5" s="6">
        <f>IF(tblProjection[[#This Row],[Age]] &lt; RetireAge, PreRetRate, PostRetRate) * tblProjection[[#This Row],[Starting Balance]]</f>
        <v>16238.596500000001</v>
      </c>
      <c r="F5" s="6">
        <f>IF(tblProjection[[#This Row],[Age]] &lt; RetireAge, 0, SpendingToday * (1+InflationRate)^(tblProjection[[#This Row],[Year]]))</f>
        <v>0</v>
      </c>
      <c r="G5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263218.54650000005</v>
      </c>
    </row>
    <row r="6" spans="1:7" x14ac:dyDescent="0.25">
      <c r="A6" s="5">
        <v>4</v>
      </c>
      <c r="B6" s="5">
        <f>tblProjection[[#This Row],[Year]] + CurrentAge</f>
        <v>39</v>
      </c>
      <c r="C6" s="6">
        <f>IF(tblProjection[[#This Row],[Year]]=0, CurrentBalance, _xlfn.XLOOKUP(tblProjection[[#This Row],[Year]]-1, tblProjection[Year], tblProjection[Ending Balance]))</f>
        <v>263218.54650000005</v>
      </c>
      <c r="D6" s="6" cm="1">
        <f t="array" ref="D6">IF(tblProjection[[#This Row],[Age]] &lt; RetireAge, AnnualContribution, SSIncome)</f>
        <v>15000</v>
      </c>
      <c r="E6" s="6">
        <f>IF(tblProjection[[#This Row],[Age]] &lt; RetireAge, PreRetRate, PostRetRate) * tblProjection[[#This Row],[Starting Balance]]</f>
        <v>18425.298255000005</v>
      </c>
      <c r="F6" s="6">
        <f>IF(tblProjection[[#This Row],[Age]] &lt; RetireAge, 0, SpendingToday * (1+InflationRate)^(tblProjection[[#This Row],[Year]]))</f>
        <v>0</v>
      </c>
      <c r="G6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296643.84475500009</v>
      </c>
    </row>
    <row r="7" spans="1:7" x14ac:dyDescent="0.25">
      <c r="A7" s="5">
        <v>5</v>
      </c>
      <c r="B7" s="5">
        <f>tblProjection[[#This Row],[Year]] + CurrentAge</f>
        <v>40</v>
      </c>
      <c r="C7" s="6">
        <f>IF(tblProjection[[#This Row],[Year]]=0, CurrentBalance, _xlfn.XLOOKUP(tblProjection[[#This Row],[Year]]-1, tblProjection[Year], tblProjection[Ending Balance]))</f>
        <v>296643.84475500009</v>
      </c>
      <c r="D7" s="6" cm="1">
        <f t="array" ref="D7">IF(tblProjection[[#This Row],[Age]] &lt; RetireAge, AnnualContribution, SSIncome)</f>
        <v>15000</v>
      </c>
      <c r="E7" s="6">
        <f>IF(tblProjection[[#This Row],[Age]] &lt; RetireAge, PreRetRate, PostRetRate) * tblProjection[[#This Row],[Starting Balance]]</f>
        <v>20765.069132850007</v>
      </c>
      <c r="F7" s="6">
        <f>IF(tblProjection[[#This Row],[Age]] &lt; RetireAge, 0, SpendingToday * (1+InflationRate)^(tblProjection[[#This Row],[Year]]))</f>
        <v>0</v>
      </c>
      <c r="G7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332408.91388785013</v>
      </c>
    </row>
    <row r="8" spans="1:7" x14ac:dyDescent="0.25">
      <c r="A8" s="5">
        <v>6</v>
      </c>
      <c r="B8" s="5">
        <f>tblProjection[[#This Row],[Year]] + CurrentAge</f>
        <v>41</v>
      </c>
      <c r="C8" s="6">
        <f>IF(tblProjection[[#This Row],[Year]]=0, CurrentBalance, _xlfn.XLOOKUP(tblProjection[[#This Row],[Year]]-1, tblProjection[Year], tblProjection[Ending Balance]))</f>
        <v>332408.91388785013</v>
      </c>
      <c r="D8" s="6" cm="1">
        <f t="array" ref="D8">IF(tblProjection[[#This Row],[Age]] &lt; RetireAge, AnnualContribution, SSIncome)</f>
        <v>15000</v>
      </c>
      <c r="E8" s="6">
        <f>IF(tblProjection[[#This Row],[Age]] &lt; RetireAge, PreRetRate, PostRetRate) * tblProjection[[#This Row],[Starting Balance]]</f>
        <v>23268.623972149511</v>
      </c>
      <c r="F8" s="6">
        <f>IF(tblProjection[[#This Row],[Age]] &lt; RetireAge, 0, SpendingToday * (1+InflationRate)^(tblProjection[[#This Row],[Year]]))</f>
        <v>0</v>
      </c>
      <c r="G8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370677.53785999963</v>
      </c>
    </row>
    <row r="9" spans="1:7" x14ac:dyDescent="0.25">
      <c r="A9" s="5">
        <v>7</v>
      </c>
      <c r="B9" s="5">
        <f>tblProjection[[#This Row],[Year]] + CurrentAge</f>
        <v>42</v>
      </c>
      <c r="C9" s="6">
        <f>IF(tblProjection[[#This Row],[Year]]=0, CurrentBalance, _xlfn.XLOOKUP(tblProjection[[#This Row],[Year]]-1, tblProjection[Year], tblProjection[Ending Balance]))</f>
        <v>370677.53785999963</v>
      </c>
      <c r="D9" s="6" cm="1">
        <f t="array" ref="D9">IF(tblProjection[[#This Row],[Age]] &lt; RetireAge, AnnualContribution, SSIncome)</f>
        <v>15000</v>
      </c>
      <c r="E9" s="6">
        <f>IF(tblProjection[[#This Row],[Age]] &lt; RetireAge, PreRetRate, PostRetRate) * tblProjection[[#This Row],[Starting Balance]]</f>
        <v>25947.427650199978</v>
      </c>
      <c r="F9" s="6">
        <f>IF(tblProjection[[#This Row],[Age]] &lt; RetireAge, 0, SpendingToday * (1+InflationRate)^(tblProjection[[#This Row],[Year]]))</f>
        <v>0</v>
      </c>
      <c r="G9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411624.9655101996</v>
      </c>
    </row>
    <row r="10" spans="1:7" x14ac:dyDescent="0.25">
      <c r="A10" s="5">
        <v>8</v>
      </c>
      <c r="B10" s="5">
        <f>tblProjection[[#This Row],[Year]] + CurrentAge</f>
        <v>43</v>
      </c>
      <c r="C10" s="6">
        <f>IF(tblProjection[[#This Row],[Year]]=0, CurrentBalance, _xlfn.XLOOKUP(tblProjection[[#This Row],[Year]]-1, tblProjection[Year], tblProjection[Ending Balance]))</f>
        <v>411624.9655101996</v>
      </c>
      <c r="D10" s="6" cm="1">
        <f t="array" ref="D10">IF(tblProjection[[#This Row],[Age]] &lt; RetireAge, AnnualContribution, SSIncome)</f>
        <v>15000</v>
      </c>
      <c r="E10" s="6">
        <f>IF(tblProjection[[#This Row],[Age]] &lt; RetireAge, PreRetRate, PostRetRate) * tblProjection[[#This Row],[Starting Balance]]</f>
        <v>28813.747585713976</v>
      </c>
      <c r="F10" s="6">
        <f>IF(tblProjection[[#This Row],[Age]] &lt; RetireAge, 0, SpendingToday * (1+InflationRate)^(tblProjection[[#This Row],[Year]]))</f>
        <v>0</v>
      </c>
      <c r="G10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455438.71309591358</v>
      </c>
    </row>
    <row r="11" spans="1:7" x14ac:dyDescent="0.25">
      <c r="A11" s="5">
        <v>9</v>
      </c>
      <c r="B11" s="5">
        <f>tblProjection[[#This Row],[Year]] + CurrentAge</f>
        <v>44</v>
      </c>
      <c r="C11" s="6">
        <f>IF(tblProjection[[#This Row],[Year]]=0, CurrentBalance, _xlfn.XLOOKUP(tblProjection[[#This Row],[Year]]-1, tblProjection[Year], tblProjection[Ending Balance]))</f>
        <v>455438.71309591358</v>
      </c>
      <c r="D11" s="6" cm="1">
        <f t="array" ref="D11">IF(tblProjection[[#This Row],[Age]] &lt; RetireAge, AnnualContribution, SSIncome)</f>
        <v>15000</v>
      </c>
      <c r="E11" s="6">
        <f>IF(tblProjection[[#This Row],[Age]] &lt; RetireAge, PreRetRate, PostRetRate) * tblProjection[[#This Row],[Starting Balance]]</f>
        <v>31880.709916713953</v>
      </c>
      <c r="F11" s="6">
        <f>IF(tblProjection[[#This Row],[Age]] &lt; RetireAge, 0, SpendingToday * (1+InflationRate)^(tblProjection[[#This Row],[Year]]))</f>
        <v>0</v>
      </c>
      <c r="G11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502319.42301262758</v>
      </c>
    </row>
    <row r="12" spans="1:7" x14ac:dyDescent="0.25">
      <c r="A12" s="5">
        <v>10</v>
      </c>
      <c r="B12" s="5">
        <f>tblProjection[[#This Row],[Year]] + CurrentAge</f>
        <v>45</v>
      </c>
      <c r="C12" s="6">
        <f>IF(tblProjection[[#This Row],[Year]]=0, CurrentBalance, _xlfn.XLOOKUP(tblProjection[[#This Row],[Year]]-1, tblProjection[Year], tblProjection[Ending Balance]))</f>
        <v>502319.42301262758</v>
      </c>
      <c r="D12" s="6" cm="1">
        <f t="array" ref="D12">IF(tblProjection[[#This Row],[Age]] &lt; RetireAge, AnnualContribution, SSIncome)</f>
        <v>15000</v>
      </c>
      <c r="E12" s="6">
        <f>IF(tblProjection[[#This Row],[Age]] &lt; RetireAge, PreRetRate, PostRetRate) * tblProjection[[#This Row],[Starting Balance]]</f>
        <v>35162.359610883934</v>
      </c>
      <c r="F12" s="6">
        <f>IF(tblProjection[[#This Row],[Age]] &lt; RetireAge, 0, SpendingToday * (1+InflationRate)^(tblProjection[[#This Row],[Year]]))</f>
        <v>0</v>
      </c>
      <c r="G12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552481.78262351151</v>
      </c>
    </row>
    <row r="13" spans="1:7" x14ac:dyDescent="0.25">
      <c r="A13" s="5">
        <v>11</v>
      </c>
      <c r="B13" s="5">
        <f>tblProjection[[#This Row],[Year]] + CurrentAge</f>
        <v>46</v>
      </c>
      <c r="C13" s="6">
        <f>IF(tblProjection[[#This Row],[Year]]=0, CurrentBalance, _xlfn.XLOOKUP(tblProjection[[#This Row],[Year]]-1, tblProjection[Year], tblProjection[Ending Balance]))</f>
        <v>552481.78262351151</v>
      </c>
      <c r="D13" s="6" cm="1">
        <f t="array" ref="D13">IF(tblProjection[[#This Row],[Age]] &lt; RetireAge, AnnualContribution, SSIncome)</f>
        <v>15000</v>
      </c>
      <c r="E13" s="6">
        <f>IF(tblProjection[[#This Row],[Age]] &lt; RetireAge, PreRetRate, PostRetRate) * tblProjection[[#This Row],[Starting Balance]]</f>
        <v>38673.724783645812</v>
      </c>
      <c r="F13" s="6">
        <f>IF(tblProjection[[#This Row],[Age]] &lt; RetireAge, 0, SpendingToday * (1+InflationRate)^(tblProjection[[#This Row],[Year]]))</f>
        <v>0</v>
      </c>
      <c r="G13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606155.50740715733</v>
      </c>
    </row>
    <row r="14" spans="1:7" x14ac:dyDescent="0.25">
      <c r="A14" s="5">
        <v>12</v>
      </c>
      <c r="B14" s="5">
        <f>tblProjection[[#This Row],[Year]] + CurrentAge</f>
        <v>47</v>
      </c>
      <c r="C14" s="6">
        <f>IF(tblProjection[[#This Row],[Year]]=0, CurrentBalance, _xlfn.XLOOKUP(tblProjection[[#This Row],[Year]]-1, tblProjection[Year], tblProjection[Ending Balance]))</f>
        <v>606155.50740715733</v>
      </c>
      <c r="D14" s="6" cm="1">
        <f t="array" ref="D14">IF(tblProjection[[#This Row],[Age]] &lt; RetireAge, AnnualContribution, SSIncome)</f>
        <v>15000</v>
      </c>
      <c r="E14" s="6">
        <f>IF(tblProjection[[#This Row],[Age]] &lt; RetireAge, PreRetRate, PostRetRate) * tblProjection[[#This Row],[Starting Balance]]</f>
        <v>42430.885518501018</v>
      </c>
      <c r="F14" s="6">
        <f>IF(tblProjection[[#This Row],[Age]] &lt; RetireAge, 0, SpendingToday * (1+InflationRate)^(tblProjection[[#This Row],[Year]]))</f>
        <v>0</v>
      </c>
      <c r="G14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663586.39292565838</v>
      </c>
    </row>
    <row r="15" spans="1:7" x14ac:dyDescent="0.25">
      <c r="A15" s="5">
        <v>13</v>
      </c>
      <c r="B15" s="5">
        <f>tblProjection[[#This Row],[Year]] + CurrentAge</f>
        <v>48</v>
      </c>
      <c r="C15" s="6">
        <f>IF(tblProjection[[#This Row],[Year]]=0, CurrentBalance, _xlfn.XLOOKUP(tblProjection[[#This Row],[Year]]-1, tblProjection[Year], tblProjection[Ending Balance]))</f>
        <v>663586.39292565838</v>
      </c>
      <c r="D15" s="6" cm="1">
        <f t="array" ref="D15">IF(tblProjection[[#This Row],[Age]] &lt; RetireAge, AnnualContribution, SSIncome)</f>
        <v>15000</v>
      </c>
      <c r="E15" s="6">
        <f>IF(tblProjection[[#This Row],[Age]] &lt; RetireAge, PreRetRate, PostRetRate) * tblProjection[[#This Row],[Starting Balance]]</f>
        <v>46451.047504796094</v>
      </c>
      <c r="F15" s="6">
        <f>IF(tblProjection[[#This Row],[Age]] &lt; RetireAge, 0, SpendingToday * (1+InflationRate)^(tblProjection[[#This Row],[Year]]))</f>
        <v>0</v>
      </c>
      <c r="G15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725037.44043045456</v>
      </c>
    </row>
    <row r="16" spans="1:7" x14ac:dyDescent="0.25">
      <c r="A16" s="5">
        <v>14</v>
      </c>
      <c r="B16" s="5">
        <f>tblProjection[[#This Row],[Year]] + CurrentAge</f>
        <v>49</v>
      </c>
      <c r="C16" s="6">
        <f>IF(tblProjection[[#This Row],[Year]]=0, CurrentBalance, _xlfn.XLOOKUP(tblProjection[[#This Row],[Year]]-1, tblProjection[Year], tblProjection[Ending Balance]))</f>
        <v>725037.44043045456</v>
      </c>
      <c r="D16" s="6" cm="1">
        <f t="array" ref="D16">IF(tblProjection[[#This Row],[Age]] &lt; RetireAge, AnnualContribution, SSIncome)</f>
        <v>15000</v>
      </c>
      <c r="E16" s="6">
        <f>IF(tblProjection[[#This Row],[Age]] &lt; RetireAge, PreRetRate, PostRetRate) * tblProjection[[#This Row],[Starting Balance]]</f>
        <v>50752.620830131826</v>
      </c>
      <c r="F16" s="6">
        <f>IF(tblProjection[[#This Row],[Age]] &lt; RetireAge, 0, SpendingToday * (1+InflationRate)^(tblProjection[[#This Row],[Year]]))</f>
        <v>0</v>
      </c>
      <c r="G16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790790.06126058637</v>
      </c>
    </row>
    <row r="17" spans="1:7" x14ac:dyDescent="0.25">
      <c r="A17" s="5">
        <v>15</v>
      </c>
      <c r="B17" s="5">
        <f>tblProjection[[#This Row],[Year]] + CurrentAge</f>
        <v>50</v>
      </c>
      <c r="C17" s="6">
        <f>IF(tblProjection[[#This Row],[Year]]=0, CurrentBalance, _xlfn.XLOOKUP(tblProjection[[#This Row],[Year]]-1, tblProjection[Year], tblProjection[Ending Balance]))</f>
        <v>790790.06126058637</v>
      </c>
      <c r="D17" s="6" cm="1">
        <f t="array" ref="D17">IF(tblProjection[[#This Row],[Age]] &lt; RetireAge, AnnualContribution, SSIncome)</f>
        <v>15000</v>
      </c>
      <c r="E17" s="6">
        <f>IF(tblProjection[[#This Row],[Age]] &lt; RetireAge, PreRetRate, PostRetRate) * tblProjection[[#This Row],[Starting Balance]]</f>
        <v>55355.304288241052</v>
      </c>
      <c r="F17" s="6">
        <f>IF(tblProjection[[#This Row],[Age]] &lt; RetireAge, 0, SpendingToday * (1+InflationRate)^(tblProjection[[#This Row],[Year]]))</f>
        <v>0</v>
      </c>
      <c r="G17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861145.36554882745</v>
      </c>
    </row>
    <row r="18" spans="1:7" x14ac:dyDescent="0.25">
      <c r="A18" s="5">
        <v>16</v>
      </c>
      <c r="B18" s="5">
        <f>tblProjection[[#This Row],[Year]] + CurrentAge</f>
        <v>51</v>
      </c>
      <c r="C18" s="6">
        <f>IF(tblProjection[[#This Row],[Year]]=0, CurrentBalance, _xlfn.XLOOKUP(tblProjection[[#This Row],[Year]]-1, tblProjection[Year], tblProjection[Ending Balance]))</f>
        <v>861145.36554882745</v>
      </c>
      <c r="D18" s="6" cm="1">
        <f t="array" ref="D18">IF(tblProjection[[#This Row],[Age]] &lt; RetireAge, AnnualContribution, SSIncome)</f>
        <v>15000</v>
      </c>
      <c r="E18" s="6">
        <f>IF(tblProjection[[#This Row],[Age]] &lt; RetireAge, PreRetRate, PostRetRate) * tblProjection[[#This Row],[Starting Balance]]</f>
        <v>60280.175588417929</v>
      </c>
      <c r="F18" s="6">
        <f>IF(tblProjection[[#This Row],[Age]] &lt; RetireAge, 0, SpendingToday * (1+InflationRate)^(tblProjection[[#This Row],[Year]]))</f>
        <v>0</v>
      </c>
      <c r="G18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936425.54113724548</v>
      </c>
    </row>
    <row r="19" spans="1:7" x14ac:dyDescent="0.25">
      <c r="A19" s="5">
        <v>17</v>
      </c>
      <c r="B19" s="5">
        <f>tblProjection[[#This Row],[Year]] + CurrentAge</f>
        <v>52</v>
      </c>
      <c r="C19" s="6">
        <f>IF(tblProjection[[#This Row],[Year]]=0, CurrentBalance, _xlfn.XLOOKUP(tblProjection[[#This Row],[Year]]-1, tblProjection[Year], tblProjection[Ending Balance]))</f>
        <v>936425.54113724548</v>
      </c>
      <c r="D19" s="6" cm="1">
        <f t="array" ref="D19">IF(tblProjection[[#This Row],[Age]] &lt; RetireAge, AnnualContribution, SSIncome)</f>
        <v>15000</v>
      </c>
      <c r="E19" s="6">
        <f>IF(tblProjection[[#This Row],[Age]] &lt; RetireAge, PreRetRate, PostRetRate) * tblProjection[[#This Row],[Starting Balance]]</f>
        <v>65549.787879607189</v>
      </c>
      <c r="F19" s="6">
        <f>IF(tblProjection[[#This Row],[Age]] &lt; RetireAge, 0, SpendingToday * (1+InflationRate)^(tblProjection[[#This Row],[Year]]))</f>
        <v>0</v>
      </c>
      <c r="G19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1016975.3290168528</v>
      </c>
    </row>
    <row r="20" spans="1:7" x14ac:dyDescent="0.25">
      <c r="A20" s="5">
        <v>18</v>
      </c>
      <c r="B20" s="5">
        <f>tblProjection[[#This Row],[Year]] + CurrentAge</f>
        <v>53</v>
      </c>
      <c r="C20" s="6">
        <f>IF(tblProjection[[#This Row],[Year]]=0, CurrentBalance, _xlfn.XLOOKUP(tblProjection[[#This Row],[Year]]-1, tblProjection[Year], tblProjection[Ending Balance]))</f>
        <v>1016975.3290168528</v>
      </c>
      <c r="D20" s="6" cm="1">
        <f t="array" ref="D20">IF(tblProjection[[#This Row],[Age]] &lt; RetireAge, AnnualContribution, SSIncome)</f>
        <v>15000</v>
      </c>
      <c r="E20" s="6">
        <f>IF(tblProjection[[#This Row],[Age]] &lt; RetireAge, PreRetRate, PostRetRate) * tblProjection[[#This Row],[Starting Balance]]</f>
        <v>71188.273031179706</v>
      </c>
      <c r="F20" s="6">
        <f>IF(tblProjection[[#This Row],[Age]] &lt; RetireAge, 0, SpendingToday * (1+InflationRate)^(tblProjection[[#This Row],[Year]]))</f>
        <v>0</v>
      </c>
      <c r="G20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1103163.6020480325</v>
      </c>
    </row>
    <row r="21" spans="1:7" x14ac:dyDescent="0.25">
      <c r="A21" s="5">
        <v>19</v>
      </c>
      <c r="B21" s="5">
        <f>tblProjection[[#This Row],[Year]] + CurrentAge</f>
        <v>54</v>
      </c>
      <c r="C21" s="6">
        <f>IF(tblProjection[[#This Row],[Year]]=0, CurrentBalance, _xlfn.XLOOKUP(tblProjection[[#This Row],[Year]]-1, tblProjection[Year], tblProjection[Ending Balance]))</f>
        <v>1103163.6020480325</v>
      </c>
      <c r="D21" s="6" cm="1">
        <f t="array" ref="D21">IF(tblProjection[[#This Row],[Age]] &lt; RetireAge, AnnualContribution, SSIncome)</f>
        <v>15000</v>
      </c>
      <c r="E21" s="6">
        <f>IF(tblProjection[[#This Row],[Age]] &lt; RetireAge, PreRetRate, PostRetRate) * tblProjection[[#This Row],[Starting Balance]]</f>
        <v>77221.452143362272</v>
      </c>
      <c r="F21" s="6">
        <f>IF(tblProjection[[#This Row],[Age]] &lt; RetireAge, 0, SpendingToday * (1+InflationRate)^(tblProjection[[#This Row],[Year]]))</f>
        <v>0</v>
      </c>
      <c r="G21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1195385.0541913947</v>
      </c>
    </row>
    <row r="22" spans="1:7" x14ac:dyDescent="0.25">
      <c r="A22" s="5">
        <v>20</v>
      </c>
      <c r="B22" s="5">
        <f>tblProjection[[#This Row],[Year]] + CurrentAge</f>
        <v>55</v>
      </c>
      <c r="C22" s="6">
        <f>IF(tblProjection[[#This Row],[Year]]=0, CurrentBalance, _xlfn.XLOOKUP(tblProjection[[#This Row],[Year]]-1, tblProjection[Year], tblProjection[Ending Balance]))</f>
        <v>1195385.0541913947</v>
      </c>
      <c r="D22" s="6" cm="1">
        <f t="array" ref="D22">IF(tblProjection[[#This Row],[Age]] &lt; RetireAge, AnnualContribution, SSIncome)</f>
        <v>15000</v>
      </c>
      <c r="E22" s="6">
        <f>IF(tblProjection[[#This Row],[Age]] &lt; RetireAge, PreRetRate, PostRetRate) * tblProjection[[#This Row],[Starting Balance]]</f>
        <v>83676.953793397639</v>
      </c>
      <c r="F22" s="6">
        <f>IF(tblProjection[[#This Row],[Age]] &lt; RetireAge, 0, SpendingToday * (1+InflationRate)^(tblProjection[[#This Row],[Year]]))</f>
        <v>0</v>
      </c>
      <c r="G22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1294062.0079847923</v>
      </c>
    </row>
    <row r="23" spans="1:7" x14ac:dyDescent="0.25">
      <c r="A23" s="5">
        <v>21</v>
      </c>
      <c r="B23" s="5">
        <f>tblProjection[[#This Row],[Year]] + CurrentAge</f>
        <v>56</v>
      </c>
      <c r="C23" s="6">
        <f>IF(tblProjection[[#This Row],[Year]]=0, CurrentBalance, _xlfn.XLOOKUP(tblProjection[[#This Row],[Year]]-1, tblProjection[Year], tblProjection[Ending Balance]))</f>
        <v>1294062.0079847923</v>
      </c>
      <c r="D23" s="6" cm="1">
        <f t="array" ref="D23">IF(tblProjection[[#This Row],[Age]] &lt; RetireAge, AnnualContribution, SSIncome)</f>
        <v>15000</v>
      </c>
      <c r="E23" s="6">
        <f>IF(tblProjection[[#This Row],[Age]] &lt; RetireAge, PreRetRate, PostRetRate) * tblProjection[[#This Row],[Starting Balance]]</f>
        <v>90584.340558935466</v>
      </c>
      <c r="F23" s="6">
        <f>IF(tblProjection[[#This Row],[Age]] &lt; RetireAge, 0, SpendingToday * (1+InflationRate)^(tblProjection[[#This Row],[Year]]))</f>
        <v>0</v>
      </c>
      <c r="G23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1399646.348543728</v>
      </c>
    </row>
    <row r="24" spans="1:7" x14ac:dyDescent="0.25">
      <c r="A24" s="5">
        <v>22</v>
      </c>
      <c r="B24" s="5">
        <f>tblProjection[[#This Row],[Year]] + CurrentAge</f>
        <v>57</v>
      </c>
      <c r="C24" s="6">
        <f>IF(tblProjection[[#This Row],[Year]]=0, CurrentBalance, _xlfn.XLOOKUP(tblProjection[[#This Row],[Year]]-1, tblProjection[Year], tblProjection[Ending Balance]))</f>
        <v>1399646.348543728</v>
      </c>
      <c r="D24" s="6" cm="1">
        <f t="array" ref="D24">IF(tblProjection[[#This Row],[Age]] &lt; RetireAge, AnnualContribution, SSIncome)</f>
        <v>15000</v>
      </c>
      <c r="E24" s="6">
        <f>IF(tblProjection[[#This Row],[Age]] &lt; RetireAge, PreRetRate, PostRetRate) * tblProjection[[#This Row],[Starting Balance]]</f>
        <v>97975.244398060968</v>
      </c>
      <c r="F24" s="6">
        <f>IF(tblProjection[[#This Row],[Age]] &lt; RetireAge, 0, SpendingToday * (1+InflationRate)^(tblProjection[[#This Row],[Year]]))</f>
        <v>0</v>
      </c>
      <c r="G24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1512621.592941789</v>
      </c>
    </row>
    <row r="25" spans="1:7" x14ac:dyDescent="0.25">
      <c r="A25" s="5">
        <v>23</v>
      </c>
      <c r="B25" s="5">
        <f>tblProjection[[#This Row],[Year]] + CurrentAge</f>
        <v>58</v>
      </c>
      <c r="C25" s="6">
        <f>IF(tblProjection[[#This Row],[Year]]=0, CurrentBalance, _xlfn.XLOOKUP(tblProjection[[#This Row],[Year]]-1, tblProjection[Year], tblProjection[Ending Balance]))</f>
        <v>1512621.592941789</v>
      </c>
      <c r="D25" s="6" cm="1">
        <f t="array" ref="D25">IF(tblProjection[[#This Row],[Age]] &lt; RetireAge, AnnualContribution, SSIncome)</f>
        <v>15000</v>
      </c>
      <c r="E25" s="6">
        <f>IF(tblProjection[[#This Row],[Age]] &lt; RetireAge, PreRetRate, PostRetRate) * tblProjection[[#This Row],[Starting Balance]]</f>
        <v>105883.51150592524</v>
      </c>
      <c r="F25" s="6">
        <f>IF(tblProjection[[#This Row],[Age]] &lt; RetireAge, 0, SpendingToday * (1+InflationRate)^(tblProjection[[#This Row],[Year]]))</f>
        <v>0</v>
      </c>
      <c r="G25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1633505.1044477143</v>
      </c>
    </row>
    <row r="26" spans="1:7" x14ac:dyDescent="0.25">
      <c r="A26" s="5">
        <v>24</v>
      </c>
      <c r="B26" s="5">
        <f>tblProjection[[#This Row],[Year]] + CurrentAge</f>
        <v>59</v>
      </c>
      <c r="C26" s="6">
        <f>IF(tblProjection[[#This Row],[Year]]=0, CurrentBalance, _xlfn.XLOOKUP(tblProjection[[#This Row],[Year]]-1, tblProjection[Year], tblProjection[Ending Balance]))</f>
        <v>1633505.1044477143</v>
      </c>
      <c r="D26" s="6" cm="1">
        <f t="array" ref="D26">IF(tblProjection[[#This Row],[Age]] &lt; RetireAge, AnnualContribution, SSIncome)</f>
        <v>15000</v>
      </c>
      <c r="E26" s="6">
        <f>IF(tblProjection[[#This Row],[Age]] &lt; RetireAge, PreRetRate, PostRetRate) * tblProjection[[#This Row],[Starting Balance]]</f>
        <v>114345.35731134001</v>
      </c>
      <c r="F26" s="6">
        <f>IF(tblProjection[[#This Row],[Age]] &lt; RetireAge, 0, SpendingToday * (1+InflationRate)^(tblProjection[[#This Row],[Year]]))</f>
        <v>0</v>
      </c>
      <c r="G26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1762850.4617590543</v>
      </c>
    </row>
    <row r="27" spans="1:7" x14ac:dyDescent="0.25">
      <c r="A27" s="5">
        <v>25</v>
      </c>
      <c r="B27" s="5">
        <f>tblProjection[[#This Row],[Year]] + CurrentAge</f>
        <v>60</v>
      </c>
      <c r="C27" s="6">
        <f>IF(tblProjection[[#This Row],[Year]]=0, CurrentBalance, _xlfn.XLOOKUP(tblProjection[[#This Row],[Year]]-1, tblProjection[Year], tblProjection[Ending Balance]))</f>
        <v>1762850.4617590543</v>
      </c>
      <c r="D27" s="6" cm="1">
        <f t="array" ref="D27">IF(tblProjection[[#This Row],[Age]] &lt; RetireAge, AnnualContribution, SSIncome)</f>
        <v>15000</v>
      </c>
      <c r="E27" s="6">
        <f>IF(tblProjection[[#This Row],[Age]] &lt; RetireAge, PreRetRate, PostRetRate) * tblProjection[[#This Row],[Starting Balance]]</f>
        <v>123399.53232313381</v>
      </c>
      <c r="F27" s="6">
        <f>IF(tblProjection[[#This Row],[Age]] &lt; RetireAge, 0, SpendingToday * (1+InflationRate)^(tblProjection[[#This Row],[Year]]))</f>
        <v>0</v>
      </c>
      <c r="G27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1901249.9940821882</v>
      </c>
    </row>
    <row r="28" spans="1:7" x14ac:dyDescent="0.25">
      <c r="A28" s="5">
        <v>26</v>
      </c>
      <c r="B28" s="5">
        <f>tblProjection[[#This Row],[Year]] + CurrentAge</f>
        <v>61</v>
      </c>
      <c r="C28" s="6">
        <f>IF(tblProjection[[#This Row],[Year]]=0, CurrentBalance, _xlfn.XLOOKUP(tblProjection[[#This Row],[Year]]-1, tblProjection[Year], tblProjection[Ending Balance]))</f>
        <v>1901249.9940821882</v>
      </c>
      <c r="D28" s="6" cm="1">
        <f t="array" ref="D28">IF(tblProjection[[#This Row],[Age]] &lt; RetireAge, AnnualContribution, SSIncome)</f>
        <v>15000</v>
      </c>
      <c r="E28" s="6">
        <f>IF(tblProjection[[#This Row],[Age]] &lt; RetireAge, PreRetRate, PostRetRate) * tblProjection[[#This Row],[Starting Balance]]</f>
        <v>133087.49958575319</v>
      </c>
      <c r="F28" s="6">
        <f>IF(tblProjection[[#This Row],[Age]] &lt; RetireAge, 0, SpendingToday * (1+InflationRate)^(tblProjection[[#This Row],[Year]]))</f>
        <v>0</v>
      </c>
      <c r="G28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2049337.4936679415</v>
      </c>
    </row>
    <row r="29" spans="1:7" x14ac:dyDescent="0.25">
      <c r="A29" s="5">
        <v>27</v>
      </c>
      <c r="B29" s="5">
        <f>tblProjection[[#This Row],[Year]] + CurrentAge</f>
        <v>62</v>
      </c>
      <c r="C29" s="6">
        <f>IF(tblProjection[[#This Row],[Year]]=0, CurrentBalance, _xlfn.XLOOKUP(tblProjection[[#This Row],[Year]]-1, tblProjection[Year], tblProjection[Ending Balance]))</f>
        <v>2049337.4936679415</v>
      </c>
      <c r="D29" s="6" cm="1">
        <f t="array" ref="D29">IF(tblProjection[[#This Row],[Age]] &lt; RetireAge, AnnualContribution, SSIncome)</f>
        <v>15000</v>
      </c>
      <c r="E29" s="6">
        <f>IF(tblProjection[[#This Row],[Age]] &lt; RetireAge, PreRetRate, PostRetRate) * tblProjection[[#This Row],[Starting Balance]]</f>
        <v>143453.62455675591</v>
      </c>
      <c r="F29" s="6">
        <f>IF(tblProjection[[#This Row],[Age]] &lt; RetireAge, 0, SpendingToday * (1+InflationRate)^(tblProjection[[#This Row],[Year]]))</f>
        <v>0</v>
      </c>
      <c r="G29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2207791.1182246977</v>
      </c>
    </row>
    <row r="30" spans="1:7" x14ac:dyDescent="0.25">
      <c r="A30" s="5">
        <v>28</v>
      </c>
      <c r="B30" s="5">
        <f>tblProjection[[#This Row],[Year]] + CurrentAge</f>
        <v>63</v>
      </c>
      <c r="C30" s="6">
        <f>IF(tblProjection[[#This Row],[Year]]=0, CurrentBalance, _xlfn.XLOOKUP(tblProjection[[#This Row],[Year]]-1, tblProjection[Year], tblProjection[Ending Balance]))</f>
        <v>2207791.1182246977</v>
      </c>
      <c r="D30" s="6" cm="1">
        <f t="array" ref="D30">IF(tblProjection[[#This Row],[Age]] &lt; RetireAge, AnnualContribution, SSIncome)</f>
        <v>15000</v>
      </c>
      <c r="E30" s="6">
        <f>IF(tblProjection[[#This Row],[Age]] &lt; RetireAge, PreRetRate, PostRetRate) * tblProjection[[#This Row],[Starting Balance]]</f>
        <v>154545.37827572884</v>
      </c>
      <c r="F30" s="6">
        <f>IF(tblProjection[[#This Row],[Age]] &lt; RetireAge, 0, SpendingToday * (1+InflationRate)^(tblProjection[[#This Row],[Year]]))</f>
        <v>0</v>
      </c>
      <c r="G30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2377336.4965004264</v>
      </c>
    </row>
    <row r="31" spans="1:7" x14ac:dyDescent="0.25">
      <c r="A31" s="5">
        <v>29</v>
      </c>
      <c r="B31" s="5">
        <f>tblProjection[[#This Row],[Year]] + CurrentAge</f>
        <v>64</v>
      </c>
      <c r="C31" s="6">
        <f>IF(tblProjection[[#This Row],[Year]]=0, CurrentBalance, _xlfn.XLOOKUP(tblProjection[[#This Row],[Year]]-1, tblProjection[Year], tblProjection[Ending Balance]))</f>
        <v>2377336.4965004264</v>
      </c>
      <c r="D31" s="6" cm="1">
        <f t="array" ref="D31">IF(tblProjection[[#This Row],[Age]] &lt; RetireAge, AnnualContribution, SSIncome)</f>
        <v>15000</v>
      </c>
      <c r="E31" s="6">
        <f>IF(tblProjection[[#This Row],[Age]] &lt; RetireAge, PreRetRate, PostRetRate) * tblProjection[[#This Row],[Starting Balance]]</f>
        <v>166413.55475502988</v>
      </c>
      <c r="F31" s="6">
        <f>IF(tblProjection[[#This Row],[Age]] &lt; RetireAge, 0, SpendingToday * (1+InflationRate)^(tblProjection[[#This Row],[Year]]))</f>
        <v>0</v>
      </c>
      <c r="G31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2558750.0512554566</v>
      </c>
    </row>
    <row r="32" spans="1:7" x14ac:dyDescent="0.25">
      <c r="A32" s="5">
        <v>30</v>
      </c>
      <c r="B32" s="5">
        <f>tblProjection[[#This Row],[Year]] + CurrentAge</f>
        <v>65</v>
      </c>
      <c r="C32" s="6">
        <f>IF(tblProjection[[#This Row],[Year]]=0, CurrentBalance, _xlfn.XLOOKUP(tblProjection[[#This Row],[Year]]-1, tblProjection[Year], tblProjection[Ending Balance]))</f>
        <v>2558750.0512554566</v>
      </c>
      <c r="D32" s="6" cm="1">
        <f t="array" ref="D32">IF(tblProjection[[#This Row],[Age]] &lt; RetireAge, AnnualContribution, SSIncome)</f>
        <v>18000</v>
      </c>
      <c r="E32" s="6">
        <f>IF(tblProjection[[#This Row],[Age]] &lt; RetireAge, PreRetRate, PostRetRate) * tblProjection[[#This Row],[Starting Balance]]</f>
        <v>102350.00205021827</v>
      </c>
      <c r="F32" s="6">
        <f>IF(tblProjection[[#This Row],[Age]] &lt; RetireAge, 0, SpendingToday * (1+InflationRate)^(tblProjection[[#This Row],[Year]]))</f>
        <v>125854.05474490728</v>
      </c>
      <c r="G32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2553245.9985607676</v>
      </c>
    </row>
    <row r="33" spans="1:7" x14ac:dyDescent="0.25">
      <c r="A33" s="5">
        <v>31</v>
      </c>
      <c r="B33" s="5">
        <f>tblProjection[[#This Row],[Year]] + CurrentAge</f>
        <v>66</v>
      </c>
      <c r="C33" s="6">
        <f>IF(tblProjection[[#This Row],[Year]]=0, CurrentBalance, _xlfn.XLOOKUP(tblProjection[[#This Row],[Year]]-1, tblProjection[Year], tblProjection[Ending Balance]))</f>
        <v>2553245.9985607676</v>
      </c>
      <c r="D33" s="6" cm="1">
        <f t="array" ref="D33">IF(tblProjection[[#This Row],[Age]] &lt; RetireAge, AnnualContribution, SSIncome)</f>
        <v>18000</v>
      </c>
      <c r="E33" s="6">
        <f>IF(tblProjection[[#This Row],[Age]] &lt; RetireAge, PreRetRate, PostRetRate) * tblProjection[[#This Row],[Starting Balance]]</f>
        <v>102129.83994243071</v>
      </c>
      <c r="F33" s="6">
        <f>IF(tblProjection[[#This Row],[Age]] &lt; RetireAge, 0, SpendingToday * (1+InflationRate)^(tblProjection[[#This Row],[Year]]))</f>
        <v>129000.40611353</v>
      </c>
      <c r="G33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2544375.4323896682</v>
      </c>
    </row>
    <row r="34" spans="1:7" x14ac:dyDescent="0.25">
      <c r="A34" s="5">
        <v>32</v>
      </c>
      <c r="B34" s="5">
        <f>tblProjection[[#This Row],[Year]] + CurrentAge</f>
        <v>67</v>
      </c>
      <c r="C34" s="6">
        <f>IF(tblProjection[[#This Row],[Year]]=0, CurrentBalance, _xlfn.XLOOKUP(tblProjection[[#This Row],[Year]]-1, tblProjection[Year], tblProjection[Ending Balance]))</f>
        <v>2544375.4323896682</v>
      </c>
      <c r="D34" s="6" cm="1">
        <f t="array" ref="D34">IF(tblProjection[[#This Row],[Age]] &lt; RetireAge, AnnualContribution, SSIncome)</f>
        <v>18000</v>
      </c>
      <c r="E34" s="6">
        <f>IF(tblProjection[[#This Row],[Age]] &lt; RetireAge, PreRetRate, PostRetRate) * tblProjection[[#This Row],[Starting Balance]]</f>
        <v>101775.01729558673</v>
      </c>
      <c r="F34" s="6">
        <f>IF(tblProjection[[#This Row],[Age]] &lt; RetireAge, 0, SpendingToday * (1+InflationRate)^(tblProjection[[#This Row],[Year]]))</f>
        <v>132225.41626636821</v>
      </c>
      <c r="G34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2531925.0334188868</v>
      </c>
    </row>
    <row r="35" spans="1:7" x14ac:dyDescent="0.25">
      <c r="A35" s="5">
        <v>33</v>
      </c>
      <c r="B35" s="5">
        <f>tblProjection[[#This Row],[Year]] + CurrentAge</f>
        <v>68</v>
      </c>
      <c r="C35" s="6">
        <f>IF(tblProjection[[#This Row],[Year]]=0, CurrentBalance, _xlfn.XLOOKUP(tblProjection[[#This Row],[Year]]-1, tblProjection[Year], tblProjection[Ending Balance]))</f>
        <v>2531925.0334188868</v>
      </c>
      <c r="D35" s="6" cm="1">
        <f t="array" ref="D35">IF(tblProjection[[#This Row],[Age]] &lt; RetireAge, AnnualContribution, SSIncome)</f>
        <v>18000</v>
      </c>
      <c r="E35" s="6">
        <f>IF(tblProjection[[#This Row],[Age]] &lt; RetireAge, PreRetRate, PostRetRate) * tblProjection[[#This Row],[Starting Balance]]</f>
        <v>101277.00133675548</v>
      </c>
      <c r="F35" s="6">
        <f>IF(tblProjection[[#This Row],[Age]] &lt; RetireAge, 0, SpendingToday * (1+InflationRate)^(tblProjection[[#This Row],[Year]]))</f>
        <v>135531.05167302742</v>
      </c>
      <c r="G35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2515670.9830826153</v>
      </c>
    </row>
    <row r="36" spans="1:7" x14ac:dyDescent="0.25">
      <c r="A36" s="5">
        <v>34</v>
      </c>
      <c r="B36" s="5">
        <f>tblProjection[[#This Row],[Year]] + CurrentAge</f>
        <v>69</v>
      </c>
      <c r="C36" s="6">
        <f>IF(tblProjection[[#This Row],[Year]]=0, CurrentBalance, _xlfn.XLOOKUP(tblProjection[[#This Row],[Year]]-1, tblProjection[Year], tblProjection[Ending Balance]))</f>
        <v>2515670.9830826153</v>
      </c>
      <c r="D36" s="6" cm="1">
        <f t="array" ref="D36">IF(tblProjection[[#This Row],[Age]] &lt; RetireAge, AnnualContribution, SSIncome)</f>
        <v>18000</v>
      </c>
      <c r="E36" s="6">
        <f>IF(tblProjection[[#This Row],[Age]] &lt; RetireAge, PreRetRate, PostRetRate) * tblProjection[[#This Row],[Starting Balance]]</f>
        <v>100626.83932330461</v>
      </c>
      <c r="F36" s="6">
        <f>IF(tblProjection[[#This Row],[Age]] &lt; RetireAge, 0, SpendingToday * (1+InflationRate)^(tblProjection[[#This Row],[Year]]))</f>
        <v>138919.32796485312</v>
      </c>
      <c r="G36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2495378.4944410669</v>
      </c>
    </row>
    <row r="37" spans="1:7" x14ac:dyDescent="0.25">
      <c r="A37" s="5">
        <v>35</v>
      </c>
      <c r="B37" s="5">
        <f>tblProjection[[#This Row],[Year]] + CurrentAge</f>
        <v>70</v>
      </c>
      <c r="C37" s="6">
        <f>IF(tblProjection[[#This Row],[Year]]=0, CurrentBalance, _xlfn.XLOOKUP(tblProjection[[#This Row],[Year]]-1, tblProjection[Year], tblProjection[Ending Balance]))</f>
        <v>2495378.4944410669</v>
      </c>
      <c r="D37" s="6" cm="1">
        <f t="array" ref="D37">IF(tblProjection[[#This Row],[Age]] &lt; RetireAge, AnnualContribution, SSIncome)</f>
        <v>18000</v>
      </c>
      <c r="E37" s="6">
        <f>IF(tblProjection[[#This Row],[Age]] &lt; RetireAge, PreRetRate, PostRetRate) * tblProjection[[#This Row],[Starting Balance]]</f>
        <v>99815.139777642675</v>
      </c>
      <c r="F37" s="6">
        <f>IF(tblProjection[[#This Row],[Age]] &lt; RetireAge, 0, SpendingToday * (1+InflationRate)^(tblProjection[[#This Row],[Year]]))</f>
        <v>142392.3111639744</v>
      </c>
      <c r="G37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2470801.3230547351</v>
      </c>
    </row>
    <row r="38" spans="1:7" x14ac:dyDescent="0.25">
      <c r="A38" s="5">
        <v>36</v>
      </c>
      <c r="B38" s="5">
        <f>tblProjection[[#This Row],[Year]] + CurrentAge</f>
        <v>71</v>
      </c>
      <c r="C38" s="6">
        <f>IF(tblProjection[[#This Row],[Year]]=0, CurrentBalance, _xlfn.XLOOKUP(tblProjection[[#This Row],[Year]]-1, tblProjection[Year], tblProjection[Ending Balance]))</f>
        <v>2470801.3230547351</v>
      </c>
      <c r="D38" s="6" cm="1">
        <f t="array" ref="D38">IF(tblProjection[[#This Row],[Age]] &lt; RetireAge, AnnualContribution, SSIncome)</f>
        <v>18000</v>
      </c>
      <c r="E38" s="6">
        <f>IF(tblProjection[[#This Row],[Age]] &lt; RetireAge, PreRetRate, PostRetRate) * tblProjection[[#This Row],[Starting Balance]]</f>
        <v>98832.05292218941</v>
      </c>
      <c r="F38" s="6">
        <f>IF(tblProjection[[#This Row],[Age]] &lt; RetireAge, 0, SpendingToday * (1+InflationRate)^(tblProjection[[#This Row],[Year]]))</f>
        <v>145952.11894307379</v>
      </c>
      <c r="G38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2441681.257033851</v>
      </c>
    </row>
    <row r="39" spans="1:7" x14ac:dyDescent="0.25">
      <c r="A39" s="5">
        <v>37</v>
      </c>
      <c r="B39" s="5">
        <f>tblProjection[[#This Row],[Year]] + CurrentAge</f>
        <v>72</v>
      </c>
      <c r="C39" s="6">
        <f>IF(tblProjection[[#This Row],[Year]]=0, CurrentBalance, _xlfn.XLOOKUP(tblProjection[[#This Row],[Year]]-1, tblProjection[Year], tblProjection[Ending Balance]))</f>
        <v>2441681.257033851</v>
      </c>
      <c r="D39" s="6" cm="1">
        <f t="array" ref="D39">IF(tblProjection[[#This Row],[Age]] &lt; RetireAge, AnnualContribution, SSIncome)</f>
        <v>18000</v>
      </c>
      <c r="E39" s="6">
        <f>IF(tblProjection[[#This Row],[Age]] &lt; RetireAge, PreRetRate, PostRetRate) * tblProjection[[#This Row],[Starting Balance]]</f>
        <v>97667.250281354049</v>
      </c>
      <c r="F39" s="6">
        <f>IF(tblProjection[[#This Row],[Age]] &lt; RetireAge, 0, SpendingToday * (1+InflationRate)^(tblProjection[[#This Row],[Year]]))</f>
        <v>149600.92191665061</v>
      </c>
      <c r="G39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2407747.5853985543</v>
      </c>
    </row>
    <row r="40" spans="1:7" x14ac:dyDescent="0.25">
      <c r="A40" s="5">
        <v>38</v>
      </c>
      <c r="B40" s="5">
        <f>tblProjection[[#This Row],[Year]] + CurrentAge</f>
        <v>73</v>
      </c>
      <c r="C40" s="6">
        <f>IF(tblProjection[[#This Row],[Year]]=0, CurrentBalance, _xlfn.XLOOKUP(tblProjection[[#This Row],[Year]]-1, tblProjection[Year], tblProjection[Ending Balance]))</f>
        <v>2407747.5853985543</v>
      </c>
      <c r="D40" s="6" cm="1">
        <f t="array" ref="D40">IF(tblProjection[[#This Row],[Age]] &lt; RetireAge, AnnualContribution, SSIncome)</f>
        <v>18000</v>
      </c>
      <c r="E40" s="6">
        <f>IF(tblProjection[[#This Row],[Age]] &lt; RetireAge, PreRetRate, PostRetRate) * tblProjection[[#This Row],[Starting Balance]]</f>
        <v>96309.903415942172</v>
      </c>
      <c r="F40" s="6">
        <f>IF(tblProjection[[#This Row],[Age]] &lt; RetireAge, 0, SpendingToday * (1+InflationRate)^(tblProjection[[#This Row],[Year]]))</f>
        <v>153340.94496456685</v>
      </c>
      <c r="G40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2368716.5438499297</v>
      </c>
    </row>
    <row r="41" spans="1:7" x14ac:dyDescent="0.25">
      <c r="A41" s="5">
        <v>39</v>
      </c>
      <c r="B41" s="5">
        <f>tblProjection[[#This Row],[Year]] + CurrentAge</f>
        <v>74</v>
      </c>
      <c r="C41" s="6">
        <f>IF(tblProjection[[#This Row],[Year]]=0, CurrentBalance, _xlfn.XLOOKUP(tblProjection[[#This Row],[Year]]-1, tblProjection[Year], tblProjection[Ending Balance]))</f>
        <v>2368716.5438499297</v>
      </c>
      <c r="D41" s="6" cm="1">
        <f t="array" ref="D41">IF(tblProjection[[#This Row],[Age]] &lt; RetireAge, AnnualContribution, SSIncome)</f>
        <v>18000</v>
      </c>
      <c r="E41" s="6">
        <f>IF(tblProjection[[#This Row],[Age]] &lt; RetireAge, PreRetRate, PostRetRate) * tblProjection[[#This Row],[Starting Balance]]</f>
        <v>94748.661753997192</v>
      </c>
      <c r="F41" s="6">
        <f>IF(tblProjection[[#This Row],[Age]] &lt; RetireAge, 0, SpendingToday * (1+InflationRate)^(tblProjection[[#This Row],[Year]]))</f>
        <v>157174.46858868102</v>
      </c>
      <c r="G41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2324290.7370152459</v>
      </c>
    </row>
    <row r="42" spans="1:7" x14ac:dyDescent="0.25">
      <c r="A42" s="5">
        <v>40</v>
      </c>
      <c r="B42" s="5">
        <f>tblProjection[[#This Row],[Year]] + CurrentAge</f>
        <v>75</v>
      </c>
      <c r="C42" s="6">
        <f>IF(tblProjection[[#This Row],[Year]]=0, CurrentBalance, _xlfn.XLOOKUP(tblProjection[[#This Row],[Year]]-1, tblProjection[Year], tblProjection[Ending Balance]))</f>
        <v>2324290.7370152459</v>
      </c>
      <c r="D42" s="6" cm="1">
        <f t="array" ref="D42">IF(tblProjection[[#This Row],[Age]] &lt; RetireAge, AnnualContribution, SSIncome)</f>
        <v>18000</v>
      </c>
      <c r="E42" s="6">
        <f>IF(tblProjection[[#This Row],[Age]] &lt; RetireAge, PreRetRate, PostRetRate) * tblProjection[[#This Row],[Starting Balance]]</f>
        <v>92971.629480609845</v>
      </c>
      <c r="F42" s="6">
        <f>IF(tblProjection[[#This Row],[Age]] &lt; RetireAge, 0, SpendingToday * (1+InflationRate)^(tblProjection[[#This Row],[Year]]))</f>
        <v>161103.83030339802</v>
      </c>
      <c r="G42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2274158.5361924581</v>
      </c>
    </row>
    <row r="43" spans="1:7" x14ac:dyDescent="0.25">
      <c r="A43" s="5">
        <v>41</v>
      </c>
      <c r="B43" s="5">
        <f>tblProjection[[#This Row],[Year]] + CurrentAge</f>
        <v>76</v>
      </c>
      <c r="C43" s="6">
        <f>IF(tblProjection[[#This Row],[Year]]=0, CurrentBalance, _xlfn.XLOOKUP(tblProjection[[#This Row],[Year]]-1, tblProjection[Year], tblProjection[Ending Balance]))</f>
        <v>2274158.5361924581</v>
      </c>
      <c r="D43" s="6" cm="1">
        <f t="array" ref="D43">IF(tblProjection[[#This Row],[Age]] &lt; RetireAge, AnnualContribution, SSIncome)</f>
        <v>18000</v>
      </c>
      <c r="E43" s="6">
        <f>IF(tblProjection[[#This Row],[Age]] &lt; RetireAge, PreRetRate, PostRetRate) * tblProjection[[#This Row],[Starting Balance]]</f>
        <v>90966.341447698331</v>
      </c>
      <c r="F43" s="6">
        <f>IF(tblProjection[[#This Row],[Age]] &lt; RetireAge, 0, SpendingToday * (1+InflationRate)^(tblProjection[[#This Row],[Year]]))</f>
        <v>165131.42606098298</v>
      </c>
      <c r="G43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2217993.4515791736</v>
      </c>
    </row>
    <row r="44" spans="1:7" x14ac:dyDescent="0.25">
      <c r="A44" s="5">
        <v>42</v>
      </c>
      <c r="B44" s="5">
        <f>tblProjection[[#This Row],[Year]] + CurrentAge</f>
        <v>77</v>
      </c>
      <c r="C44" s="6">
        <f>IF(tblProjection[[#This Row],[Year]]=0, CurrentBalance, _xlfn.XLOOKUP(tblProjection[[#This Row],[Year]]-1, tblProjection[Year], tblProjection[Ending Balance]))</f>
        <v>2217993.4515791736</v>
      </c>
      <c r="D44" s="6" cm="1">
        <f t="array" ref="D44">IF(tblProjection[[#This Row],[Age]] &lt; RetireAge, AnnualContribution, SSIncome)</f>
        <v>18000</v>
      </c>
      <c r="E44" s="6">
        <f>IF(tblProjection[[#This Row],[Age]] &lt; RetireAge, PreRetRate, PostRetRate) * tblProjection[[#This Row],[Starting Balance]]</f>
        <v>88719.738063166951</v>
      </c>
      <c r="F44" s="6">
        <f>IF(tblProjection[[#This Row],[Age]] &lt; RetireAge, 0, SpendingToday * (1+InflationRate)^(tblProjection[[#This Row],[Year]]))</f>
        <v>169259.71171250756</v>
      </c>
      <c r="G44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2155453.4779298329</v>
      </c>
    </row>
    <row r="45" spans="1:7" x14ac:dyDescent="0.25">
      <c r="A45" s="5">
        <v>43</v>
      </c>
      <c r="B45" s="5">
        <f>tblProjection[[#This Row],[Year]] + CurrentAge</f>
        <v>78</v>
      </c>
      <c r="C45" s="6">
        <f>IF(tblProjection[[#This Row],[Year]]=0, CurrentBalance, _xlfn.XLOOKUP(tblProjection[[#This Row],[Year]]-1, tblProjection[Year], tblProjection[Ending Balance]))</f>
        <v>2155453.4779298329</v>
      </c>
      <c r="D45" s="6" cm="1">
        <f t="array" ref="D45">IF(tblProjection[[#This Row],[Age]] &lt; RetireAge, AnnualContribution, SSIncome)</f>
        <v>18000</v>
      </c>
      <c r="E45" s="6">
        <f>IF(tblProjection[[#This Row],[Age]] &lt; RetireAge, PreRetRate, PostRetRate) * tblProjection[[#This Row],[Starting Balance]]</f>
        <v>86218.139117193321</v>
      </c>
      <c r="F45" s="6">
        <f>IF(tblProjection[[#This Row],[Age]] &lt; RetireAge, 0, SpendingToday * (1+InflationRate)^(tblProjection[[#This Row],[Year]]))</f>
        <v>173491.20450532023</v>
      </c>
      <c r="G45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2086180.4125417061</v>
      </c>
    </row>
    <row r="46" spans="1:7" x14ac:dyDescent="0.25">
      <c r="A46" s="5">
        <v>44</v>
      </c>
      <c r="B46" s="5">
        <f>tblProjection[[#This Row],[Year]] + CurrentAge</f>
        <v>79</v>
      </c>
      <c r="C46" s="6">
        <f>IF(tblProjection[[#This Row],[Year]]=0, CurrentBalance, _xlfn.XLOOKUP(tblProjection[[#This Row],[Year]]-1, tblProjection[Year], tblProjection[Ending Balance]))</f>
        <v>2086180.4125417061</v>
      </c>
      <c r="D46" s="6" cm="1">
        <f t="array" ref="D46">IF(tblProjection[[#This Row],[Age]] &lt; RetireAge, AnnualContribution, SSIncome)</f>
        <v>18000</v>
      </c>
      <c r="E46" s="6">
        <f>IF(tblProjection[[#This Row],[Age]] &lt; RetireAge, PreRetRate, PostRetRate) * tblProjection[[#This Row],[Starting Balance]]</f>
        <v>83447.216501668241</v>
      </c>
      <c r="F46" s="6">
        <f>IF(tblProjection[[#This Row],[Age]] &lt; RetireAge, 0, SpendingToday * (1+InflationRate)^(tblProjection[[#This Row],[Year]]))</f>
        <v>177828.48461795322</v>
      </c>
      <c r="G46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2009799.144425421</v>
      </c>
    </row>
    <row r="47" spans="1:7" x14ac:dyDescent="0.25">
      <c r="A47" s="5">
        <v>45</v>
      </c>
      <c r="B47" s="5">
        <f>tblProjection[[#This Row],[Year]] + CurrentAge</f>
        <v>80</v>
      </c>
      <c r="C47" s="6">
        <f>IF(tblProjection[[#This Row],[Year]]=0, CurrentBalance, _xlfn.XLOOKUP(tblProjection[[#This Row],[Year]]-1, tblProjection[Year], tblProjection[Ending Balance]))</f>
        <v>2009799.144425421</v>
      </c>
      <c r="D47" s="6" cm="1">
        <f t="array" ref="D47">IF(tblProjection[[#This Row],[Age]] &lt; RetireAge, AnnualContribution, SSIncome)</f>
        <v>18000</v>
      </c>
      <c r="E47" s="6">
        <f>IF(tblProjection[[#This Row],[Age]] &lt; RetireAge, PreRetRate, PostRetRate) * tblProjection[[#This Row],[Starting Balance]]</f>
        <v>80391.965777016841</v>
      </c>
      <c r="F47" s="6">
        <f>IF(tblProjection[[#This Row],[Age]] &lt; RetireAge, 0, SpendingToday * (1+InflationRate)^(tblProjection[[#This Row],[Year]]))</f>
        <v>182274.19673340206</v>
      </c>
      <c r="G47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1925916.9134690361</v>
      </c>
    </row>
    <row r="48" spans="1:7" x14ac:dyDescent="0.25">
      <c r="A48" s="5">
        <v>46</v>
      </c>
      <c r="B48" s="5">
        <f>tblProjection[[#This Row],[Year]] + CurrentAge</f>
        <v>81</v>
      </c>
      <c r="C48" s="6">
        <f>IF(tblProjection[[#This Row],[Year]]=0, CurrentBalance, _xlfn.XLOOKUP(tblProjection[[#This Row],[Year]]-1, tblProjection[Year], tblProjection[Ending Balance]))</f>
        <v>1925916.9134690361</v>
      </c>
      <c r="D48" s="6" cm="1">
        <f t="array" ref="D48">IF(tblProjection[[#This Row],[Age]] &lt; RetireAge, AnnualContribution, SSIncome)</f>
        <v>18000</v>
      </c>
      <c r="E48" s="6">
        <f>IF(tblProjection[[#This Row],[Age]] &lt; RetireAge, PreRetRate, PostRetRate) * tblProjection[[#This Row],[Starting Balance]]</f>
        <v>77036.676538761443</v>
      </c>
      <c r="F48" s="6">
        <f>IF(tblProjection[[#This Row],[Age]] &lt; RetireAge, 0, SpendingToday * (1+InflationRate)^(tblProjection[[#This Row],[Year]]))</f>
        <v>186831.05165173707</v>
      </c>
      <c r="G48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1834122.5383560606</v>
      </c>
    </row>
    <row r="49" spans="1:7" x14ac:dyDescent="0.25">
      <c r="A49" s="5">
        <v>47</v>
      </c>
      <c r="B49" s="5">
        <f>tblProjection[[#This Row],[Year]] + CurrentAge</f>
        <v>82</v>
      </c>
      <c r="C49" s="6">
        <f>IF(tblProjection[[#This Row],[Year]]=0, CurrentBalance, _xlfn.XLOOKUP(tblProjection[[#This Row],[Year]]-1, tblProjection[Year], tblProjection[Ending Balance]))</f>
        <v>1834122.5383560606</v>
      </c>
      <c r="D49" s="6" cm="1">
        <f t="array" ref="D49">IF(tblProjection[[#This Row],[Age]] &lt; RetireAge, AnnualContribution, SSIncome)</f>
        <v>18000</v>
      </c>
      <c r="E49" s="6">
        <f>IF(tblProjection[[#This Row],[Age]] &lt; RetireAge, PreRetRate, PostRetRate) * tblProjection[[#This Row],[Starting Balance]]</f>
        <v>73364.901534242425</v>
      </c>
      <c r="F49" s="6">
        <f>IF(tblProjection[[#This Row],[Age]] &lt; RetireAge, 0, SpendingToday * (1+InflationRate)^(tblProjection[[#This Row],[Year]]))</f>
        <v>191501.82794303054</v>
      </c>
      <c r="G49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1733985.6119472727</v>
      </c>
    </row>
    <row r="50" spans="1:7" x14ac:dyDescent="0.25">
      <c r="A50" s="5">
        <v>48</v>
      </c>
      <c r="B50" s="5">
        <f>tblProjection[[#This Row],[Year]] + CurrentAge</f>
        <v>83</v>
      </c>
      <c r="C50" s="6">
        <f>IF(tblProjection[[#This Row],[Year]]=0, CurrentBalance, _xlfn.XLOOKUP(tblProjection[[#This Row],[Year]]-1, tblProjection[Year], tblProjection[Ending Balance]))</f>
        <v>1733985.6119472727</v>
      </c>
      <c r="D50" s="6" cm="1">
        <f t="array" ref="D50">IF(tblProjection[[#This Row],[Age]] &lt; RetireAge, AnnualContribution, SSIncome)</f>
        <v>18000</v>
      </c>
      <c r="E50" s="6">
        <f>IF(tblProjection[[#This Row],[Age]] &lt; RetireAge, PreRetRate, PostRetRate) * tblProjection[[#This Row],[Starting Balance]]</f>
        <v>69359.424477890905</v>
      </c>
      <c r="F50" s="6">
        <f>IF(tblProjection[[#This Row],[Age]] &lt; RetireAge, 0, SpendingToday * (1+InflationRate)^(tblProjection[[#This Row],[Year]]))</f>
        <v>196289.37364160627</v>
      </c>
      <c r="G50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1625055.6627835575</v>
      </c>
    </row>
    <row r="51" spans="1:7" x14ac:dyDescent="0.25">
      <c r="A51" s="5">
        <v>49</v>
      </c>
      <c r="B51" s="5">
        <f>tblProjection[[#This Row],[Year]] + CurrentAge</f>
        <v>84</v>
      </c>
      <c r="C51" s="6">
        <f>IF(tblProjection[[#This Row],[Year]]=0, CurrentBalance, _xlfn.XLOOKUP(tblProjection[[#This Row],[Year]]-1, tblProjection[Year], tblProjection[Ending Balance]))</f>
        <v>1625055.6627835575</v>
      </c>
      <c r="D51" s="6" cm="1">
        <f t="array" ref="D51">IF(tblProjection[[#This Row],[Age]] &lt; RetireAge, AnnualContribution, SSIncome)</f>
        <v>18000</v>
      </c>
      <c r="E51" s="6">
        <f>IF(tblProjection[[#This Row],[Age]] &lt; RetireAge, PreRetRate, PostRetRate) * tblProjection[[#This Row],[Starting Balance]]</f>
        <v>65002.226511342305</v>
      </c>
      <c r="F51" s="6">
        <f>IF(tblProjection[[#This Row],[Age]] &lt; RetireAge, 0, SpendingToday * (1+InflationRate)^(tblProjection[[#This Row],[Year]]))</f>
        <v>201196.60798264641</v>
      </c>
      <c r="G51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1506861.2813122536</v>
      </c>
    </row>
    <row r="52" spans="1:7" x14ac:dyDescent="0.25">
      <c r="A52" s="5">
        <v>50</v>
      </c>
      <c r="B52" s="5">
        <f>tblProjection[[#This Row],[Year]] + CurrentAge</f>
        <v>85</v>
      </c>
      <c r="C52" s="6">
        <f>IF(tblProjection[[#This Row],[Year]]=0, CurrentBalance, _xlfn.XLOOKUP(tblProjection[[#This Row],[Year]]-1, tblProjection[Year], tblProjection[Ending Balance]))</f>
        <v>1506861.2813122536</v>
      </c>
      <c r="D52" s="6" cm="1">
        <f t="array" ref="D52">IF(tblProjection[[#This Row],[Age]] &lt; RetireAge, AnnualContribution, SSIncome)</f>
        <v>18000</v>
      </c>
      <c r="E52" s="6">
        <f>IF(tblProjection[[#This Row],[Age]] &lt; RetireAge, PreRetRate, PostRetRate) * tblProjection[[#This Row],[Starting Balance]]</f>
        <v>60274.451252490144</v>
      </c>
      <c r="F52" s="6">
        <f>IF(tblProjection[[#This Row],[Age]] &lt; RetireAge, 0, SpendingToday * (1+InflationRate)^(tblProjection[[#This Row],[Year]]))</f>
        <v>206226.52318221258</v>
      </c>
      <c r="G52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1378909.2093825312</v>
      </c>
    </row>
    <row r="53" spans="1:7" x14ac:dyDescent="0.25">
      <c r="A53" s="5">
        <v>51</v>
      </c>
      <c r="B53" s="5">
        <f>tblProjection[[#This Row],[Year]] + CurrentAge</f>
        <v>86</v>
      </c>
      <c r="C53" s="6">
        <f>IF(tblProjection[[#This Row],[Year]]=0, CurrentBalance, _xlfn.XLOOKUP(tblProjection[[#This Row],[Year]]-1, tblProjection[Year], tblProjection[Ending Balance]))</f>
        <v>1378909.2093825312</v>
      </c>
      <c r="D53" s="6" cm="1">
        <f t="array" ref="D53">IF(tblProjection[[#This Row],[Age]] &lt; RetireAge, AnnualContribution, SSIncome)</f>
        <v>18000</v>
      </c>
      <c r="E53" s="6">
        <f>IF(tblProjection[[#This Row],[Age]] &lt; RetireAge, PreRetRate, PostRetRate) * tblProjection[[#This Row],[Starting Balance]]</f>
        <v>55156.368375301252</v>
      </c>
      <c r="F53" s="6">
        <f>IF(tblProjection[[#This Row],[Age]] &lt; RetireAge, 0, SpendingToday * (1+InflationRate)^(tblProjection[[#This Row],[Year]]))</f>
        <v>211382.1862617679</v>
      </c>
      <c r="G53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1240683.3914960646</v>
      </c>
    </row>
    <row r="54" spans="1:7" x14ac:dyDescent="0.25">
      <c r="A54" s="5">
        <v>52</v>
      </c>
      <c r="B54" s="5">
        <f>tblProjection[[#This Row],[Year]] + CurrentAge</f>
        <v>87</v>
      </c>
      <c r="C54" s="6">
        <f>IF(tblProjection[[#This Row],[Year]]=0, CurrentBalance, _xlfn.XLOOKUP(tblProjection[[#This Row],[Year]]-1, tblProjection[Year], tblProjection[Ending Balance]))</f>
        <v>1240683.3914960646</v>
      </c>
      <c r="D54" s="6" cm="1">
        <f t="array" ref="D54">IF(tblProjection[[#This Row],[Age]] &lt; RetireAge, AnnualContribution, SSIncome)</f>
        <v>18000</v>
      </c>
      <c r="E54" s="6">
        <f>IF(tblProjection[[#This Row],[Age]] &lt; RetireAge, PreRetRate, PostRetRate) * tblProjection[[#This Row],[Starting Balance]]</f>
        <v>49627.335659842589</v>
      </c>
      <c r="F54" s="6">
        <f>IF(tblProjection[[#This Row],[Age]] &lt; RetireAge, 0, SpendingToday * (1+InflationRate)^(tblProjection[[#This Row],[Year]]))</f>
        <v>216666.74091831208</v>
      </c>
      <c r="G54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1091643.9862375953</v>
      </c>
    </row>
    <row r="55" spans="1:7" x14ac:dyDescent="0.25">
      <c r="A55" s="5">
        <v>53</v>
      </c>
      <c r="B55" s="5">
        <f>tblProjection[[#This Row],[Year]] + CurrentAge</f>
        <v>88</v>
      </c>
      <c r="C55" s="6">
        <f>IF(tblProjection[[#This Row],[Year]]=0, CurrentBalance, _xlfn.XLOOKUP(tblProjection[[#This Row],[Year]]-1, tblProjection[Year], tblProjection[Ending Balance]))</f>
        <v>1091643.9862375953</v>
      </c>
      <c r="D55" s="6" cm="1">
        <f t="array" ref="D55">IF(tblProjection[[#This Row],[Age]] &lt; RetireAge, AnnualContribution, SSIncome)</f>
        <v>18000</v>
      </c>
      <c r="E55" s="6">
        <f>IF(tblProjection[[#This Row],[Age]] &lt; RetireAge, PreRetRate, PostRetRate) * tblProjection[[#This Row],[Starting Balance]]</f>
        <v>43665.759449503814</v>
      </c>
      <c r="F55" s="6">
        <f>IF(tblProjection[[#This Row],[Age]] &lt; RetireAge, 0, SpendingToday * (1+InflationRate)^(tblProjection[[#This Row],[Year]]))</f>
        <v>222083.40944126985</v>
      </c>
      <c r="G55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931226.33624582936</v>
      </c>
    </row>
    <row r="56" spans="1:7" x14ac:dyDescent="0.25">
      <c r="A56" s="5">
        <v>54</v>
      </c>
      <c r="B56" s="5">
        <f>tblProjection[[#This Row],[Year]] + CurrentAge</f>
        <v>89</v>
      </c>
      <c r="C56" s="6">
        <f>IF(tblProjection[[#This Row],[Year]]=0, CurrentBalance, _xlfn.XLOOKUP(tblProjection[[#This Row],[Year]]-1, tblProjection[Year], tblProjection[Ending Balance]))</f>
        <v>931226.33624582936</v>
      </c>
      <c r="D56" s="6" cm="1">
        <f t="array" ref="D56">IF(tblProjection[[#This Row],[Age]] &lt; RetireAge, AnnualContribution, SSIncome)</f>
        <v>18000</v>
      </c>
      <c r="E56" s="6">
        <f>IF(tblProjection[[#This Row],[Age]] &lt; RetireAge, PreRetRate, PostRetRate) * tblProjection[[#This Row],[Starting Balance]]</f>
        <v>37249.053449833176</v>
      </c>
      <c r="F56" s="6">
        <f>IF(tblProjection[[#This Row],[Age]] &lt; RetireAge, 0, SpendingToday * (1+InflationRate)^(tblProjection[[#This Row],[Year]]))</f>
        <v>227635.49467730158</v>
      </c>
      <c r="G56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758839.89501836093</v>
      </c>
    </row>
    <row r="57" spans="1:7" x14ac:dyDescent="0.25">
      <c r="A57" s="5">
        <v>55</v>
      </c>
      <c r="B57" s="5">
        <f>tblProjection[[#This Row],[Year]] + CurrentAge</f>
        <v>90</v>
      </c>
      <c r="C57" s="6">
        <f>IF(tblProjection[[#This Row],[Year]]=0, CurrentBalance, _xlfn.XLOOKUP(tblProjection[[#This Row],[Year]]-1, tblProjection[Year], tblProjection[Ending Balance]))</f>
        <v>758839.89501836093</v>
      </c>
      <c r="D57" s="6" cm="1">
        <f t="array" ref="D57">IF(tblProjection[[#This Row],[Age]] &lt; RetireAge, AnnualContribution, SSIncome)</f>
        <v>18000</v>
      </c>
      <c r="E57" s="6">
        <f>IF(tblProjection[[#This Row],[Age]] &lt; RetireAge, PreRetRate, PostRetRate) * tblProjection[[#This Row],[Starting Balance]]</f>
        <v>30353.595800734438</v>
      </c>
      <c r="F57" s="6">
        <f>IF(tblProjection[[#This Row],[Age]] &lt; RetireAge, 0, SpendingToday * (1+InflationRate)^(tblProjection[[#This Row],[Year]]))</f>
        <v>233326.38204423411</v>
      </c>
      <c r="G57" s="6">
        <f>tblProjection[[#This Row],[Starting Balance]] * (1 + IF(tblProjection[[#This Row],[Age]] &lt; RetireAge, PreRetRate, PostRetRate)) + tblProjection[[#This Row],[Contributions/Income]] - tblProjection[[#This Row],[Retirement Withdrawals (inflation-adjusted)]]</f>
        <v>573867.10877486132</v>
      </c>
    </row>
  </sheetData>
  <conditionalFormatting sqref="G2:G57">
    <cfRule type="expression" dxfId="1" priority="1">
      <formula>$G2&lt;0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B620C-8094-4A2A-86FE-D07000FB81E2}">
  <dimension ref="A1:H27"/>
  <sheetViews>
    <sheetView workbookViewId="0">
      <pane ySplit="1" topLeftCell="A2" activePane="bottomLeft" state="frozen"/>
      <selection pane="bottomLeft" activeCell="E3" sqref="E3"/>
    </sheetView>
  </sheetViews>
  <sheetFormatPr defaultRowHeight="15" x14ac:dyDescent="0.25"/>
  <cols>
    <col min="1" max="1" width="19.5703125" bestFit="1" customWidth="1"/>
    <col min="2" max="2" width="6.42578125" bestFit="1" customWidth="1"/>
    <col min="3" max="3" width="17.7109375" bestFit="1" customWidth="1"/>
    <col min="4" max="4" width="20" bestFit="1" customWidth="1"/>
    <col min="5" max="5" width="19.140625" bestFit="1" customWidth="1"/>
    <col min="6" max="6" width="12.5703125" bestFit="1" customWidth="1"/>
    <col min="7" max="7" width="16.85546875" bestFit="1" customWidth="1"/>
    <col min="8" max="8" width="16.7109375" bestFit="1" customWidth="1"/>
  </cols>
  <sheetData>
    <row r="1" spans="1:8" x14ac:dyDescent="0.25">
      <c r="A1" s="8" t="s">
        <v>42</v>
      </c>
      <c r="B1" s="8" t="s">
        <v>36</v>
      </c>
      <c r="C1" s="8" t="s">
        <v>37</v>
      </c>
      <c r="D1" s="8" t="s">
        <v>39</v>
      </c>
      <c r="E1" s="8" t="s">
        <v>43</v>
      </c>
      <c r="F1" s="8" t="s">
        <v>44</v>
      </c>
      <c r="G1" s="8" t="s">
        <v>45</v>
      </c>
      <c r="H1" s="8" t="s">
        <v>41</v>
      </c>
    </row>
    <row r="2" spans="1:8" x14ac:dyDescent="0.25">
      <c r="A2" s="5">
        <v>0</v>
      </c>
      <c r="B2" s="5">
        <f>RetireAge + tblDrawdown[[#This Row],[Year in Retirement]]</f>
        <v>65</v>
      </c>
      <c r="C2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2558750.0512554566</v>
      </c>
      <c r="D2" s="6">
        <f>PostRetRate * tblDrawdown[[#This Row],[Starting Balance]]</f>
        <v>102350.00205021827</v>
      </c>
      <c r="E2" s="6" cm="1">
        <f t="array" ref="E2">SpendingToday * (1+InflationRate)^(RetStartIndex + tblDrawdown[[#This Row],[Year in Retirement]])</f>
        <v>125854.05474490728</v>
      </c>
      <c r="F2" s="6" cm="1">
        <f t="array" ref="F2">SSIncome</f>
        <v>18000</v>
      </c>
      <c r="G2" s="6">
        <f>tblDrawdown[[#This Row],[Spending (infl adj)]] - tblDrawdown[[#This Row],[SS Income]]</f>
        <v>107854.05474490728</v>
      </c>
      <c r="H2" s="6">
        <f>tblDrawdown[[#This Row],[Starting Balance]] * (1+PostRetRate) - tblDrawdown[[#This Row],[Net Withdrawal]]</f>
        <v>2553245.9985607676</v>
      </c>
    </row>
    <row r="3" spans="1:8" x14ac:dyDescent="0.25">
      <c r="A3" s="5">
        <v>1</v>
      </c>
      <c r="B3" s="5">
        <f>RetireAge + tblDrawdown[[#This Row],[Year in Retirement]]</f>
        <v>66</v>
      </c>
      <c r="C3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2553245.9985607676</v>
      </c>
      <c r="D3" s="6">
        <f>PostRetRate * tblDrawdown[[#This Row],[Starting Balance]]</f>
        <v>102129.83994243071</v>
      </c>
      <c r="E3" s="6" cm="1">
        <f t="array" ref="E3">SpendingToday * (1+InflationRate)^(RetStartIndex + tblDrawdown[[#This Row],[Year in Retirement]])</f>
        <v>129000.40611353</v>
      </c>
      <c r="F3" s="6" cm="1">
        <f t="array" ref="F3">SSIncome</f>
        <v>18000</v>
      </c>
      <c r="G3" s="6">
        <f>tblDrawdown[[#This Row],[Spending (infl adj)]] - tblDrawdown[[#This Row],[SS Income]]</f>
        <v>111000.40611353</v>
      </c>
      <c r="H3" s="6">
        <f>tblDrawdown[[#This Row],[Starting Balance]] * (1+PostRetRate) - tblDrawdown[[#This Row],[Net Withdrawal]]</f>
        <v>2544375.4323896682</v>
      </c>
    </row>
    <row r="4" spans="1:8" x14ac:dyDescent="0.25">
      <c r="A4" s="5">
        <v>2</v>
      </c>
      <c r="B4" s="5">
        <f>RetireAge + tblDrawdown[[#This Row],[Year in Retirement]]</f>
        <v>67</v>
      </c>
      <c r="C4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2544375.4323896682</v>
      </c>
      <c r="D4" s="6">
        <f>PostRetRate * tblDrawdown[[#This Row],[Starting Balance]]</f>
        <v>101775.01729558673</v>
      </c>
      <c r="E4" s="6" cm="1">
        <f t="array" ref="E4">SpendingToday * (1+InflationRate)^(RetStartIndex + tblDrawdown[[#This Row],[Year in Retirement]])</f>
        <v>132225.41626636821</v>
      </c>
      <c r="F4" s="6" cm="1">
        <f t="array" ref="F4">SSIncome</f>
        <v>18000</v>
      </c>
      <c r="G4" s="6">
        <f>tblDrawdown[[#This Row],[Spending (infl adj)]] - tblDrawdown[[#This Row],[SS Income]]</f>
        <v>114225.41626636821</v>
      </c>
      <c r="H4" s="6">
        <f>tblDrawdown[[#This Row],[Starting Balance]] * (1+PostRetRate) - tblDrawdown[[#This Row],[Net Withdrawal]]</f>
        <v>2531925.0334188868</v>
      </c>
    </row>
    <row r="5" spans="1:8" x14ac:dyDescent="0.25">
      <c r="A5" s="5">
        <v>3</v>
      </c>
      <c r="B5" s="5">
        <f>RetireAge + tblDrawdown[[#This Row],[Year in Retirement]]</f>
        <v>68</v>
      </c>
      <c r="C5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2531925.0334188868</v>
      </c>
      <c r="D5" s="6">
        <f>PostRetRate * tblDrawdown[[#This Row],[Starting Balance]]</f>
        <v>101277.00133675548</v>
      </c>
      <c r="E5" s="6" cm="1">
        <f t="array" ref="E5">SpendingToday * (1+InflationRate)^(RetStartIndex + tblDrawdown[[#This Row],[Year in Retirement]])</f>
        <v>135531.05167302742</v>
      </c>
      <c r="F5" s="6" cm="1">
        <f t="array" ref="F5">SSIncome</f>
        <v>18000</v>
      </c>
      <c r="G5" s="6">
        <f>tblDrawdown[[#This Row],[Spending (infl adj)]] - tblDrawdown[[#This Row],[SS Income]]</f>
        <v>117531.05167302742</v>
      </c>
      <c r="H5" s="6">
        <f>tblDrawdown[[#This Row],[Starting Balance]] * (1+PostRetRate) - tblDrawdown[[#This Row],[Net Withdrawal]]</f>
        <v>2515670.9830826153</v>
      </c>
    </row>
    <row r="6" spans="1:8" x14ac:dyDescent="0.25">
      <c r="A6" s="5">
        <v>4</v>
      </c>
      <c r="B6" s="5">
        <f>RetireAge + tblDrawdown[[#This Row],[Year in Retirement]]</f>
        <v>69</v>
      </c>
      <c r="C6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2515670.9830826153</v>
      </c>
      <c r="D6" s="6">
        <f>PostRetRate * tblDrawdown[[#This Row],[Starting Balance]]</f>
        <v>100626.83932330461</v>
      </c>
      <c r="E6" s="6" cm="1">
        <f t="array" ref="E6">SpendingToday * (1+InflationRate)^(RetStartIndex + tblDrawdown[[#This Row],[Year in Retirement]])</f>
        <v>138919.32796485312</v>
      </c>
      <c r="F6" s="6" cm="1">
        <f t="array" ref="F6">SSIncome</f>
        <v>18000</v>
      </c>
      <c r="G6" s="6">
        <f>tblDrawdown[[#This Row],[Spending (infl adj)]] - tblDrawdown[[#This Row],[SS Income]]</f>
        <v>120919.32796485312</v>
      </c>
      <c r="H6" s="6">
        <f>tblDrawdown[[#This Row],[Starting Balance]] * (1+PostRetRate) - tblDrawdown[[#This Row],[Net Withdrawal]]</f>
        <v>2495378.4944410669</v>
      </c>
    </row>
    <row r="7" spans="1:8" x14ac:dyDescent="0.25">
      <c r="A7" s="5">
        <v>5</v>
      </c>
      <c r="B7" s="5">
        <f>RetireAge + tblDrawdown[[#This Row],[Year in Retirement]]</f>
        <v>70</v>
      </c>
      <c r="C7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2495378.4944410669</v>
      </c>
      <c r="D7" s="6">
        <f>PostRetRate * tblDrawdown[[#This Row],[Starting Balance]]</f>
        <v>99815.139777642675</v>
      </c>
      <c r="E7" s="6" cm="1">
        <f t="array" ref="E7">SpendingToday * (1+InflationRate)^(RetStartIndex + tblDrawdown[[#This Row],[Year in Retirement]])</f>
        <v>142392.3111639744</v>
      </c>
      <c r="F7" s="6" cm="1">
        <f t="array" ref="F7">SSIncome</f>
        <v>18000</v>
      </c>
      <c r="G7" s="6">
        <f>tblDrawdown[[#This Row],[Spending (infl adj)]] - tblDrawdown[[#This Row],[SS Income]]</f>
        <v>124392.3111639744</v>
      </c>
      <c r="H7" s="6">
        <f>tblDrawdown[[#This Row],[Starting Balance]] * (1+PostRetRate) - tblDrawdown[[#This Row],[Net Withdrawal]]</f>
        <v>2470801.3230547351</v>
      </c>
    </row>
    <row r="8" spans="1:8" x14ac:dyDescent="0.25">
      <c r="A8" s="5">
        <v>6</v>
      </c>
      <c r="B8" s="5">
        <f>RetireAge + tblDrawdown[[#This Row],[Year in Retirement]]</f>
        <v>71</v>
      </c>
      <c r="C8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2470801.3230547351</v>
      </c>
      <c r="D8" s="6">
        <f>PostRetRate * tblDrawdown[[#This Row],[Starting Balance]]</f>
        <v>98832.05292218941</v>
      </c>
      <c r="E8" s="6" cm="1">
        <f t="array" ref="E8">SpendingToday * (1+InflationRate)^(RetStartIndex + tblDrawdown[[#This Row],[Year in Retirement]])</f>
        <v>145952.11894307379</v>
      </c>
      <c r="F8" s="6" cm="1">
        <f t="array" ref="F8">SSIncome</f>
        <v>18000</v>
      </c>
      <c r="G8" s="6">
        <f>tblDrawdown[[#This Row],[Spending (infl adj)]] - tblDrawdown[[#This Row],[SS Income]]</f>
        <v>127952.11894307379</v>
      </c>
      <c r="H8" s="6">
        <f>tblDrawdown[[#This Row],[Starting Balance]] * (1+PostRetRate) - tblDrawdown[[#This Row],[Net Withdrawal]]</f>
        <v>2441681.257033851</v>
      </c>
    </row>
    <row r="9" spans="1:8" x14ac:dyDescent="0.25">
      <c r="A9" s="5">
        <v>7</v>
      </c>
      <c r="B9" s="5">
        <f>RetireAge + tblDrawdown[[#This Row],[Year in Retirement]]</f>
        <v>72</v>
      </c>
      <c r="C9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2441681.257033851</v>
      </c>
      <c r="D9" s="6">
        <f>PostRetRate * tblDrawdown[[#This Row],[Starting Balance]]</f>
        <v>97667.250281354049</v>
      </c>
      <c r="E9" s="6" cm="1">
        <f t="array" ref="E9">SpendingToday * (1+InflationRate)^(RetStartIndex + tblDrawdown[[#This Row],[Year in Retirement]])</f>
        <v>149600.92191665061</v>
      </c>
      <c r="F9" s="6" cm="1">
        <f t="array" ref="F9">SSIncome</f>
        <v>18000</v>
      </c>
      <c r="G9" s="6">
        <f>tblDrawdown[[#This Row],[Spending (infl adj)]] - tblDrawdown[[#This Row],[SS Income]]</f>
        <v>131600.92191665061</v>
      </c>
      <c r="H9" s="6">
        <f>tblDrawdown[[#This Row],[Starting Balance]] * (1+PostRetRate) - tblDrawdown[[#This Row],[Net Withdrawal]]</f>
        <v>2407747.5853985543</v>
      </c>
    </row>
    <row r="10" spans="1:8" x14ac:dyDescent="0.25">
      <c r="A10" s="5">
        <v>8</v>
      </c>
      <c r="B10" s="5">
        <f>RetireAge + tblDrawdown[[#This Row],[Year in Retirement]]</f>
        <v>73</v>
      </c>
      <c r="C10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2407747.5853985543</v>
      </c>
      <c r="D10" s="6">
        <f>PostRetRate * tblDrawdown[[#This Row],[Starting Balance]]</f>
        <v>96309.903415942172</v>
      </c>
      <c r="E10" s="6" cm="1">
        <f t="array" ref="E10">SpendingToday * (1+InflationRate)^(RetStartIndex + tblDrawdown[[#This Row],[Year in Retirement]])</f>
        <v>153340.94496456685</v>
      </c>
      <c r="F10" s="6" cm="1">
        <f t="array" ref="F10">SSIncome</f>
        <v>18000</v>
      </c>
      <c r="G10" s="6">
        <f>tblDrawdown[[#This Row],[Spending (infl adj)]] - tblDrawdown[[#This Row],[SS Income]]</f>
        <v>135340.94496456685</v>
      </c>
      <c r="H10" s="6">
        <f>tblDrawdown[[#This Row],[Starting Balance]] * (1+PostRetRate) - tblDrawdown[[#This Row],[Net Withdrawal]]</f>
        <v>2368716.5438499297</v>
      </c>
    </row>
    <row r="11" spans="1:8" x14ac:dyDescent="0.25">
      <c r="A11" s="5">
        <v>9</v>
      </c>
      <c r="B11" s="5">
        <f>RetireAge + tblDrawdown[[#This Row],[Year in Retirement]]</f>
        <v>74</v>
      </c>
      <c r="C11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2368716.5438499297</v>
      </c>
      <c r="D11" s="6">
        <f>PostRetRate * tblDrawdown[[#This Row],[Starting Balance]]</f>
        <v>94748.661753997192</v>
      </c>
      <c r="E11" s="6" cm="1">
        <f t="array" ref="E11">SpendingToday * (1+InflationRate)^(RetStartIndex + tblDrawdown[[#This Row],[Year in Retirement]])</f>
        <v>157174.46858868102</v>
      </c>
      <c r="F11" s="6" cm="1">
        <f t="array" ref="F11">SSIncome</f>
        <v>18000</v>
      </c>
      <c r="G11" s="6">
        <f>tblDrawdown[[#This Row],[Spending (infl adj)]] - tblDrawdown[[#This Row],[SS Income]]</f>
        <v>139174.46858868102</v>
      </c>
      <c r="H11" s="6">
        <f>tblDrawdown[[#This Row],[Starting Balance]] * (1+PostRetRate) - tblDrawdown[[#This Row],[Net Withdrawal]]</f>
        <v>2324290.7370152459</v>
      </c>
    </row>
    <row r="12" spans="1:8" x14ac:dyDescent="0.25">
      <c r="A12" s="5">
        <v>10</v>
      </c>
      <c r="B12" s="5">
        <f>RetireAge + tblDrawdown[[#This Row],[Year in Retirement]]</f>
        <v>75</v>
      </c>
      <c r="C12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2324290.7370152459</v>
      </c>
      <c r="D12" s="6">
        <f>PostRetRate * tblDrawdown[[#This Row],[Starting Balance]]</f>
        <v>92971.629480609845</v>
      </c>
      <c r="E12" s="6" cm="1">
        <f t="array" ref="E12">SpendingToday * (1+InflationRate)^(RetStartIndex + tblDrawdown[[#This Row],[Year in Retirement]])</f>
        <v>161103.83030339802</v>
      </c>
      <c r="F12" s="6" cm="1">
        <f t="array" ref="F12">SSIncome</f>
        <v>18000</v>
      </c>
      <c r="G12" s="6">
        <f>tblDrawdown[[#This Row],[Spending (infl adj)]] - tblDrawdown[[#This Row],[SS Income]]</f>
        <v>143103.83030339802</v>
      </c>
      <c r="H12" s="6">
        <f>tblDrawdown[[#This Row],[Starting Balance]] * (1+PostRetRate) - tblDrawdown[[#This Row],[Net Withdrawal]]</f>
        <v>2274158.5361924581</v>
      </c>
    </row>
    <row r="13" spans="1:8" x14ac:dyDescent="0.25">
      <c r="A13" s="5">
        <v>11</v>
      </c>
      <c r="B13" s="5">
        <f>RetireAge + tblDrawdown[[#This Row],[Year in Retirement]]</f>
        <v>76</v>
      </c>
      <c r="C13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2274158.5361924581</v>
      </c>
      <c r="D13" s="6">
        <f>PostRetRate * tblDrawdown[[#This Row],[Starting Balance]]</f>
        <v>90966.341447698331</v>
      </c>
      <c r="E13" s="6" cm="1">
        <f t="array" ref="E13">SpendingToday * (1+InflationRate)^(RetStartIndex + tblDrawdown[[#This Row],[Year in Retirement]])</f>
        <v>165131.42606098298</v>
      </c>
      <c r="F13" s="6" cm="1">
        <f t="array" ref="F13">SSIncome</f>
        <v>18000</v>
      </c>
      <c r="G13" s="6">
        <f>tblDrawdown[[#This Row],[Spending (infl adj)]] - tblDrawdown[[#This Row],[SS Income]]</f>
        <v>147131.42606098298</v>
      </c>
      <c r="H13" s="6">
        <f>tblDrawdown[[#This Row],[Starting Balance]] * (1+PostRetRate) - tblDrawdown[[#This Row],[Net Withdrawal]]</f>
        <v>2217993.4515791736</v>
      </c>
    </row>
    <row r="14" spans="1:8" x14ac:dyDescent="0.25">
      <c r="A14" s="5">
        <v>12</v>
      </c>
      <c r="B14" s="5">
        <f>RetireAge + tblDrawdown[[#This Row],[Year in Retirement]]</f>
        <v>77</v>
      </c>
      <c r="C14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2217993.4515791736</v>
      </c>
      <c r="D14" s="6">
        <f>PostRetRate * tblDrawdown[[#This Row],[Starting Balance]]</f>
        <v>88719.738063166951</v>
      </c>
      <c r="E14" s="6" cm="1">
        <f t="array" ref="E14">SpendingToday * (1+InflationRate)^(RetStartIndex + tblDrawdown[[#This Row],[Year in Retirement]])</f>
        <v>169259.71171250756</v>
      </c>
      <c r="F14" s="6" cm="1">
        <f t="array" ref="F14">SSIncome</f>
        <v>18000</v>
      </c>
      <c r="G14" s="6">
        <f>tblDrawdown[[#This Row],[Spending (infl adj)]] - tblDrawdown[[#This Row],[SS Income]]</f>
        <v>151259.71171250756</v>
      </c>
      <c r="H14" s="6">
        <f>tblDrawdown[[#This Row],[Starting Balance]] * (1+PostRetRate) - tblDrawdown[[#This Row],[Net Withdrawal]]</f>
        <v>2155453.4779298329</v>
      </c>
    </row>
    <row r="15" spans="1:8" x14ac:dyDescent="0.25">
      <c r="A15" s="5">
        <v>13</v>
      </c>
      <c r="B15" s="5">
        <f>RetireAge + tblDrawdown[[#This Row],[Year in Retirement]]</f>
        <v>78</v>
      </c>
      <c r="C15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2155453.4779298329</v>
      </c>
      <c r="D15" s="6">
        <f>PostRetRate * tblDrawdown[[#This Row],[Starting Balance]]</f>
        <v>86218.139117193321</v>
      </c>
      <c r="E15" s="6" cm="1">
        <f t="array" ref="E15">SpendingToday * (1+InflationRate)^(RetStartIndex + tblDrawdown[[#This Row],[Year in Retirement]])</f>
        <v>173491.20450532023</v>
      </c>
      <c r="F15" s="6" cm="1">
        <f t="array" ref="F15">SSIncome</f>
        <v>18000</v>
      </c>
      <c r="G15" s="6">
        <f>tblDrawdown[[#This Row],[Spending (infl adj)]] - tblDrawdown[[#This Row],[SS Income]]</f>
        <v>155491.20450532023</v>
      </c>
      <c r="H15" s="6">
        <f>tblDrawdown[[#This Row],[Starting Balance]] * (1+PostRetRate) - tblDrawdown[[#This Row],[Net Withdrawal]]</f>
        <v>2086180.4125417061</v>
      </c>
    </row>
    <row r="16" spans="1:8" x14ac:dyDescent="0.25">
      <c r="A16" s="5">
        <v>14</v>
      </c>
      <c r="B16" s="5">
        <f>RetireAge + tblDrawdown[[#This Row],[Year in Retirement]]</f>
        <v>79</v>
      </c>
      <c r="C16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2086180.4125417061</v>
      </c>
      <c r="D16" s="6">
        <f>PostRetRate * tblDrawdown[[#This Row],[Starting Balance]]</f>
        <v>83447.216501668241</v>
      </c>
      <c r="E16" s="6" cm="1">
        <f t="array" ref="E16">SpendingToday * (1+InflationRate)^(RetStartIndex + tblDrawdown[[#This Row],[Year in Retirement]])</f>
        <v>177828.48461795322</v>
      </c>
      <c r="F16" s="6" cm="1">
        <f t="array" ref="F16">SSIncome</f>
        <v>18000</v>
      </c>
      <c r="G16" s="6">
        <f>tblDrawdown[[#This Row],[Spending (infl adj)]] - tblDrawdown[[#This Row],[SS Income]]</f>
        <v>159828.48461795322</v>
      </c>
      <c r="H16" s="6">
        <f>tblDrawdown[[#This Row],[Starting Balance]] * (1+PostRetRate) - tblDrawdown[[#This Row],[Net Withdrawal]]</f>
        <v>2009799.144425421</v>
      </c>
    </row>
    <row r="17" spans="1:8" x14ac:dyDescent="0.25">
      <c r="A17" s="5">
        <v>15</v>
      </c>
      <c r="B17" s="5">
        <f>RetireAge + tblDrawdown[[#This Row],[Year in Retirement]]</f>
        <v>80</v>
      </c>
      <c r="C17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2009799.144425421</v>
      </c>
      <c r="D17" s="6">
        <f>PostRetRate * tblDrawdown[[#This Row],[Starting Balance]]</f>
        <v>80391.965777016841</v>
      </c>
      <c r="E17" s="6" cm="1">
        <f t="array" ref="E17">SpendingToday * (1+InflationRate)^(RetStartIndex + tblDrawdown[[#This Row],[Year in Retirement]])</f>
        <v>182274.19673340206</v>
      </c>
      <c r="F17" s="6" cm="1">
        <f t="array" ref="F17">SSIncome</f>
        <v>18000</v>
      </c>
      <c r="G17" s="6">
        <f>tblDrawdown[[#This Row],[Spending (infl adj)]] - tblDrawdown[[#This Row],[SS Income]]</f>
        <v>164274.19673340206</v>
      </c>
      <c r="H17" s="6">
        <f>tblDrawdown[[#This Row],[Starting Balance]] * (1+PostRetRate) - tblDrawdown[[#This Row],[Net Withdrawal]]</f>
        <v>1925916.9134690359</v>
      </c>
    </row>
    <row r="18" spans="1:8" x14ac:dyDescent="0.25">
      <c r="A18" s="5">
        <v>16</v>
      </c>
      <c r="B18" s="5">
        <f>RetireAge + tblDrawdown[[#This Row],[Year in Retirement]]</f>
        <v>81</v>
      </c>
      <c r="C18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1925916.9134690359</v>
      </c>
      <c r="D18" s="6">
        <f>PostRetRate * tblDrawdown[[#This Row],[Starting Balance]]</f>
        <v>77036.676538761443</v>
      </c>
      <c r="E18" s="6" cm="1">
        <f t="array" ref="E18">SpendingToday * (1+InflationRate)^(RetStartIndex + tblDrawdown[[#This Row],[Year in Retirement]])</f>
        <v>186831.05165173707</v>
      </c>
      <c r="F18" s="6" cm="1">
        <f t="array" ref="F18">SSIncome</f>
        <v>18000</v>
      </c>
      <c r="G18" s="6">
        <f>tblDrawdown[[#This Row],[Spending (infl adj)]] - tblDrawdown[[#This Row],[SS Income]]</f>
        <v>168831.05165173707</v>
      </c>
      <c r="H18" s="6">
        <f>tblDrawdown[[#This Row],[Starting Balance]] * (1+PostRetRate) - tblDrawdown[[#This Row],[Net Withdrawal]]</f>
        <v>1834122.5383560602</v>
      </c>
    </row>
    <row r="19" spans="1:8" x14ac:dyDescent="0.25">
      <c r="A19" s="5">
        <v>17</v>
      </c>
      <c r="B19" s="5">
        <f>RetireAge + tblDrawdown[[#This Row],[Year in Retirement]]</f>
        <v>82</v>
      </c>
      <c r="C19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1834122.5383560602</v>
      </c>
      <c r="D19" s="6">
        <f>PostRetRate * tblDrawdown[[#This Row],[Starting Balance]]</f>
        <v>73364.90153424241</v>
      </c>
      <c r="E19" s="6" cm="1">
        <f t="array" ref="E19">SpendingToday * (1+InflationRate)^(RetStartIndex + tblDrawdown[[#This Row],[Year in Retirement]])</f>
        <v>191501.82794303054</v>
      </c>
      <c r="F19" s="6" cm="1">
        <f t="array" ref="F19">SSIncome</f>
        <v>18000</v>
      </c>
      <c r="G19" s="6">
        <f>tblDrawdown[[#This Row],[Spending (infl adj)]] - tblDrawdown[[#This Row],[SS Income]]</f>
        <v>173501.82794303054</v>
      </c>
      <c r="H19" s="6">
        <f>tblDrawdown[[#This Row],[Starting Balance]] * (1+PostRetRate) - tblDrawdown[[#This Row],[Net Withdrawal]]</f>
        <v>1733985.6119472722</v>
      </c>
    </row>
    <row r="20" spans="1:8" x14ac:dyDescent="0.25">
      <c r="A20" s="5">
        <v>18</v>
      </c>
      <c r="B20" s="5">
        <f>RetireAge + tblDrawdown[[#This Row],[Year in Retirement]]</f>
        <v>83</v>
      </c>
      <c r="C20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1733985.6119472722</v>
      </c>
      <c r="D20" s="6">
        <f>PostRetRate * tblDrawdown[[#This Row],[Starting Balance]]</f>
        <v>69359.424477890891</v>
      </c>
      <c r="E20" s="6" cm="1">
        <f t="array" ref="E20">SpendingToday * (1+InflationRate)^(RetStartIndex + tblDrawdown[[#This Row],[Year in Retirement]])</f>
        <v>196289.37364160627</v>
      </c>
      <c r="F20" s="6" cm="1">
        <f t="array" ref="F20">SSIncome</f>
        <v>18000</v>
      </c>
      <c r="G20" s="6">
        <f>tblDrawdown[[#This Row],[Spending (infl adj)]] - tblDrawdown[[#This Row],[SS Income]]</f>
        <v>178289.37364160627</v>
      </c>
      <c r="H20" s="6">
        <f>tblDrawdown[[#This Row],[Starting Balance]] * (1+PostRetRate) - tblDrawdown[[#This Row],[Net Withdrawal]]</f>
        <v>1625055.6627835571</v>
      </c>
    </row>
    <row r="21" spans="1:8" x14ac:dyDescent="0.25">
      <c r="A21" s="5">
        <v>19</v>
      </c>
      <c r="B21" s="5">
        <f>RetireAge + tblDrawdown[[#This Row],[Year in Retirement]]</f>
        <v>84</v>
      </c>
      <c r="C21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1625055.6627835571</v>
      </c>
      <c r="D21" s="6">
        <f>PostRetRate * tblDrawdown[[#This Row],[Starting Balance]]</f>
        <v>65002.226511342284</v>
      </c>
      <c r="E21" s="6" cm="1">
        <f t="array" ref="E21">SpendingToday * (1+InflationRate)^(RetStartIndex + tblDrawdown[[#This Row],[Year in Retirement]])</f>
        <v>201196.60798264641</v>
      </c>
      <c r="F21" s="6" cm="1">
        <f t="array" ref="F21">SSIncome</f>
        <v>18000</v>
      </c>
      <c r="G21" s="6">
        <f>tblDrawdown[[#This Row],[Spending (infl adj)]] - tblDrawdown[[#This Row],[SS Income]]</f>
        <v>183196.60798264641</v>
      </c>
      <c r="H21" s="6">
        <f>tblDrawdown[[#This Row],[Starting Balance]] * (1+PostRetRate) - tblDrawdown[[#This Row],[Net Withdrawal]]</f>
        <v>1506861.2813122531</v>
      </c>
    </row>
    <row r="22" spans="1:8" x14ac:dyDescent="0.25">
      <c r="A22" s="5">
        <v>20</v>
      </c>
      <c r="B22" s="5">
        <f>RetireAge + tblDrawdown[[#This Row],[Year in Retirement]]</f>
        <v>85</v>
      </c>
      <c r="C22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1506861.2813122531</v>
      </c>
      <c r="D22" s="6">
        <f>PostRetRate * tblDrawdown[[#This Row],[Starting Balance]]</f>
        <v>60274.451252490122</v>
      </c>
      <c r="E22" s="6" cm="1">
        <f t="array" ref="E22">SpendingToday * (1+InflationRate)^(RetStartIndex + tblDrawdown[[#This Row],[Year in Retirement]])</f>
        <v>206226.52318221258</v>
      </c>
      <c r="F22" s="6" cm="1">
        <f t="array" ref="F22">SSIncome</f>
        <v>18000</v>
      </c>
      <c r="G22" s="6">
        <f>tblDrawdown[[#This Row],[Spending (infl adj)]] - tblDrawdown[[#This Row],[SS Income]]</f>
        <v>188226.52318221258</v>
      </c>
      <c r="H22" s="6">
        <f>tblDrawdown[[#This Row],[Starting Balance]] * (1+PostRetRate) - tblDrawdown[[#This Row],[Net Withdrawal]]</f>
        <v>1378909.2093825308</v>
      </c>
    </row>
    <row r="23" spans="1:8" x14ac:dyDescent="0.25">
      <c r="A23" s="5">
        <v>21</v>
      </c>
      <c r="B23" s="5">
        <f>RetireAge + tblDrawdown[[#This Row],[Year in Retirement]]</f>
        <v>86</v>
      </c>
      <c r="C23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1378909.2093825308</v>
      </c>
      <c r="D23" s="6">
        <f>PostRetRate * tblDrawdown[[#This Row],[Starting Balance]]</f>
        <v>55156.36837530123</v>
      </c>
      <c r="E23" s="6" cm="1">
        <f t="array" ref="E23">SpendingToday * (1+InflationRate)^(RetStartIndex + tblDrawdown[[#This Row],[Year in Retirement]])</f>
        <v>211382.1862617679</v>
      </c>
      <c r="F23" s="6" cm="1">
        <f t="array" ref="F23">SSIncome</f>
        <v>18000</v>
      </c>
      <c r="G23" s="6">
        <f>tblDrawdown[[#This Row],[Spending (infl adj)]] - tblDrawdown[[#This Row],[SS Income]]</f>
        <v>193382.1862617679</v>
      </c>
      <c r="H23" s="6">
        <f>tblDrawdown[[#This Row],[Starting Balance]] * (1+PostRetRate) - tblDrawdown[[#This Row],[Net Withdrawal]]</f>
        <v>1240683.3914960641</v>
      </c>
    </row>
    <row r="24" spans="1:8" x14ac:dyDescent="0.25">
      <c r="A24" s="5">
        <v>22</v>
      </c>
      <c r="B24" s="5">
        <f>RetireAge + tblDrawdown[[#This Row],[Year in Retirement]]</f>
        <v>87</v>
      </c>
      <c r="C24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1240683.3914960641</v>
      </c>
      <c r="D24" s="6">
        <f>PostRetRate * tblDrawdown[[#This Row],[Starting Balance]]</f>
        <v>49627.335659842567</v>
      </c>
      <c r="E24" s="6" cm="1">
        <f t="array" ref="E24">SpendingToday * (1+InflationRate)^(RetStartIndex + tblDrawdown[[#This Row],[Year in Retirement]])</f>
        <v>216666.74091831208</v>
      </c>
      <c r="F24" s="6" cm="1">
        <f t="array" ref="F24">SSIncome</f>
        <v>18000</v>
      </c>
      <c r="G24" s="6">
        <f>tblDrawdown[[#This Row],[Spending (infl adj)]] - tblDrawdown[[#This Row],[SS Income]]</f>
        <v>198666.74091831208</v>
      </c>
      <c r="H24" s="6">
        <f>tblDrawdown[[#This Row],[Starting Balance]] * (1+PostRetRate) - tblDrawdown[[#This Row],[Net Withdrawal]]</f>
        <v>1091643.9862375949</v>
      </c>
    </row>
    <row r="25" spans="1:8" x14ac:dyDescent="0.25">
      <c r="A25" s="5">
        <v>23</v>
      </c>
      <c r="B25" s="5">
        <f>RetireAge + tblDrawdown[[#This Row],[Year in Retirement]]</f>
        <v>88</v>
      </c>
      <c r="C25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1091643.9862375949</v>
      </c>
      <c r="D25" s="6">
        <f>PostRetRate * tblDrawdown[[#This Row],[Starting Balance]]</f>
        <v>43665.759449503792</v>
      </c>
      <c r="E25" s="6" cm="1">
        <f t="array" ref="E25">SpendingToday * (1+InflationRate)^(RetStartIndex + tblDrawdown[[#This Row],[Year in Retirement]])</f>
        <v>222083.40944126985</v>
      </c>
      <c r="F25" s="6" cm="1">
        <f t="array" ref="F25">SSIncome</f>
        <v>18000</v>
      </c>
      <c r="G25" s="6">
        <f>tblDrawdown[[#This Row],[Spending (infl adj)]] - tblDrawdown[[#This Row],[SS Income]]</f>
        <v>204083.40944126985</v>
      </c>
      <c r="H25" s="6">
        <f>tblDrawdown[[#This Row],[Starting Balance]] * (1+PostRetRate) - tblDrawdown[[#This Row],[Net Withdrawal]]</f>
        <v>931226.33624582889</v>
      </c>
    </row>
    <row r="26" spans="1:8" x14ac:dyDescent="0.25">
      <c r="A26" s="5">
        <v>24</v>
      </c>
      <c r="B26" s="5">
        <f>RetireAge + tblDrawdown[[#This Row],[Year in Retirement]]</f>
        <v>89</v>
      </c>
      <c r="C26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931226.33624582889</v>
      </c>
      <c r="D26" s="6">
        <f>PostRetRate * tblDrawdown[[#This Row],[Starting Balance]]</f>
        <v>37249.053449833154</v>
      </c>
      <c r="E26" s="6" cm="1">
        <f t="array" ref="E26">SpendingToday * (1+InflationRate)^(RetStartIndex + tblDrawdown[[#This Row],[Year in Retirement]])</f>
        <v>227635.49467730158</v>
      </c>
      <c r="F26" s="6" cm="1">
        <f t="array" ref="F26">SSIncome</f>
        <v>18000</v>
      </c>
      <c r="G26" s="6">
        <f>tblDrawdown[[#This Row],[Spending (infl adj)]] - tblDrawdown[[#This Row],[SS Income]]</f>
        <v>209635.49467730158</v>
      </c>
      <c r="H26" s="6">
        <f>tblDrawdown[[#This Row],[Starting Balance]] * (1+PostRetRate) - tblDrawdown[[#This Row],[Net Withdrawal]]</f>
        <v>758839.89501836046</v>
      </c>
    </row>
    <row r="27" spans="1:8" x14ac:dyDescent="0.25">
      <c r="A27" s="5">
        <v>25</v>
      </c>
      <c r="B27" s="5">
        <f>RetireAge + tblDrawdown[[#This Row],[Year in Retirement]]</f>
        <v>90</v>
      </c>
      <c r="C27" s="6">
        <f>IF(tblDrawdown[[#This Row],[Year in Retirement]]=0, _xlfn.XLOOKUP(RetireAge, tblProjection[Age], tblProjection[Starting Balance]), _xlfn.XLOOKUP(tblDrawdown[[#This Row],[Year in Retirement]]-1, tblDrawdown[Year in Retirement], tblDrawdown[Ending Balance]))</f>
        <v>758839.89501836046</v>
      </c>
      <c r="D27" s="6">
        <f>PostRetRate * tblDrawdown[[#This Row],[Starting Balance]]</f>
        <v>30353.59580073442</v>
      </c>
      <c r="E27" s="6" cm="1">
        <f t="array" ref="E27">SpendingToday * (1+InflationRate)^(RetStartIndex + tblDrawdown[[#This Row],[Year in Retirement]])</f>
        <v>233326.38204423411</v>
      </c>
      <c r="F27" s="6" cm="1">
        <f t="array" ref="F27">SSIncome</f>
        <v>18000</v>
      </c>
      <c r="G27" s="6">
        <f>tblDrawdown[[#This Row],[Spending (infl adj)]] - tblDrawdown[[#This Row],[SS Income]]</f>
        <v>215326.38204423411</v>
      </c>
      <c r="H27" s="6">
        <f>tblDrawdown[[#This Row],[Starting Balance]] * (1+PostRetRate) - tblDrawdown[[#This Row],[Net Withdrawal]]</f>
        <v>573867.10877486086</v>
      </c>
    </row>
  </sheetData>
  <conditionalFormatting sqref="H2:H27">
    <cfRule type="expression" dxfId="0" priority="1">
      <formula>$H2&lt;0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1B589-9023-40F4-8DDF-363ECB5980A7}">
  <dimension ref="A1:F64"/>
  <sheetViews>
    <sheetView workbookViewId="0">
      <selection activeCell="H11" sqref="H11"/>
    </sheetView>
  </sheetViews>
  <sheetFormatPr defaultRowHeight="15" x14ac:dyDescent="0.25"/>
  <cols>
    <col min="2" max="2" width="10.7109375" bestFit="1" customWidth="1"/>
  </cols>
  <sheetData>
    <row r="1" spans="1:6" ht="27.75" customHeight="1" x14ac:dyDescent="0.35">
      <c r="A1" s="17" t="s">
        <v>46</v>
      </c>
      <c r="B1" s="17"/>
      <c r="C1" s="17"/>
      <c r="D1" s="17"/>
      <c r="E1" s="17"/>
      <c r="F1" s="17"/>
    </row>
    <row r="3" spans="1:6" x14ac:dyDescent="0.25">
      <c r="A3" s="7" t="s">
        <v>47</v>
      </c>
      <c r="B3" s="2">
        <f>_xlfn.XLOOKUP(RetireAge, tblProjection[Age], tblProjection[Starting Balance])</f>
        <v>2558750.0512554566</v>
      </c>
    </row>
    <row r="4" spans="1:6" x14ac:dyDescent="0.25">
      <c r="A4" s="7" t="s">
        <v>48</v>
      </c>
      <c r="B4" t="str" cm="1">
        <f t="array" ref="B4">_xlfn.LET(_xlpm.b, tblProjection[Ending Balance], _xlpm.y, tblProjection[Year], IFERROR(INDEX(_xlpm.y, MATCH(TRUE, _xlpm.b&lt;0, 0)), "Does not run out"))</f>
        <v>Does not run out</v>
      </c>
    </row>
    <row r="5" spans="1:6" x14ac:dyDescent="0.25">
      <c r="A5" s="7" t="s">
        <v>49</v>
      </c>
      <c r="B5" t="str" cm="1">
        <f t="array" ref="B5">_xlfn.LET(_xlpm.b, tblProjection[Ending Balance], _xlpm.a, tblProjection[Age], IFERROR(INDEX(_xlpm.a, MATCH(TRUE, _xlpm.b&lt;0, 0)), "Does not run out"))</f>
        <v>Does not run out</v>
      </c>
    </row>
    <row r="8" spans="1:6" x14ac:dyDescent="0.25">
      <c r="A8" t="s">
        <v>36</v>
      </c>
      <c r="B8" t="s">
        <v>41</v>
      </c>
      <c r="D8" t="s">
        <v>36</v>
      </c>
      <c r="E8" t="s">
        <v>38</v>
      </c>
      <c r="F8" t="s">
        <v>50</v>
      </c>
    </row>
    <row r="9" spans="1:6" x14ac:dyDescent="0.25">
      <c r="A9" cm="1">
        <f t="array" ref="A9:A64">INDEX(tblProjection[Age], _xlfn.SEQUENCE(ProjectionYears))</f>
        <v>35</v>
      </c>
      <c r="B9" s="2" cm="1">
        <f t="array" ref="B9:B64">INDEX(tblProjection[Ending Balance], _xlfn.SEQUENCE(ProjectionYears))</f>
        <v>175500</v>
      </c>
      <c r="D9" cm="1">
        <f t="array" ref="D9:D64">INDEX(tblProjection[Age], _xlfn.SEQUENCE(ProjectionYears))</f>
        <v>35</v>
      </c>
      <c r="E9" s="2" cm="1">
        <f t="array" ref="E9:E64">INDEX(tblProjection[Contributions/Income], _xlfn.SEQUENCE(ProjectionYears))</f>
        <v>15000</v>
      </c>
      <c r="F9" s="2" cm="1">
        <f t="array" ref="F9:F64">INDEX(tblProjection[Retirement Withdrawals (inflation-adjusted)], _xlfn.SEQUENCE(ProjectionYears))</f>
        <v>0</v>
      </c>
    </row>
    <row r="10" spans="1:6" x14ac:dyDescent="0.25">
      <c r="A10">
        <v>36</v>
      </c>
      <c r="B10">
        <v>202785</v>
      </c>
      <c r="D10">
        <v>36</v>
      </c>
      <c r="E10">
        <v>15000</v>
      </c>
      <c r="F10">
        <v>0</v>
      </c>
    </row>
    <row r="11" spans="1:6" x14ac:dyDescent="0.25">
      <c r="A11">
        <v>37</v>
      </c>
      <c r="B11">
        <v>231979.95</v>
      </c>
      <c r="D11">
        <v>37</v>
      </c>
      <c r="E11">
        <v>15000</v>
      </c>
      <c r="F11">
        <v>0</v>
      </c>
    </row>
    <row r="12" spans="1:6" x14ac:dyDescent="0.25">
      <c r="A12">
        <v>38</v>
      </c>
      <c r="B12">
        <v>263218.54650000005</v>
      </c>
      <c r="D12">
        <v>38</v>
      </c>
      <c r="E12">
        <v>15000</v>
      </c>
      <c r="F12">
        <v>0</v>
      </c>
    </row>
    <row r="13" spans="1:6" x14ac:dyDescent="0.25">
      <c r="A13">
        <v>39</v>
      </c>
      <c r="B13">
        <v>296643.84475500009</v>
      </c>
      <c r="D13">
        <v>39</v>
      </c>
      <c r="E13">
        <v>15000</v>
      </c>
      <c r="F13">
        <v>0</v>
      </c>
    </row>
    <row r="14" spans="1:6" x14ac:dyDescent="0.25">
      <c r="A14">
        <v>40</v>
      </c>
      <c r="B14">
        <v>332408.91388785013</v>
      </c>
      <c r="D14">
        <v>40</v>
      </c>
      <c r="E14">
        <v>15000</v>
      </c>
      <c r="F14">
        <v>0</v>
      </c>
    </row>
    <row r="15" spans="1:6" x14ac:dyDescent="0.25">
      <c r="A15">
        <v>41</v>
      </c>
      <c r="B15">
        <v>370677.53785999963</v>
      </c>
      <c r="D15">
        <v>41</v>
      </c>
      <c r="E15">
        <v>15000</v>
      </c>
      <c r="F15">
        <v>0</v>
      </c>
    </row>
    <row r="16" spans="1:6" x14ac:dyDescent="0.25">
      <c r="A16">
        <v>42</v>
      </c>
      <c r="B16">
        <v>411624.9655101996</v>
      </c>
      <c r="D16">
        <v>42</v>
      </c>
      <c r="E16">
        <v>15000</v>
      </c>
      <c r="F16">
        <v>0</v>
      </c>
    </row>
    <row r="17" spans="1:6" x14ac:dyDescent="0.25">
      <c r="A17">
        <v>43</v>
      </c>
      <c r="B17">
        <v>455438.71309591358</v>
      </c>
      <c r="D17">
        <v>43</v>
      </c>
      <c r="E17">
        <v>15000</v>
      </c>
      <c r="F17">
        <v>0</v>
      </c>
    </row>
    <row r="18" spans="1:6" x14ac:dyDescent="0.25">
      <c r="A18">
        <v>44</v>
      </c>
      <c r="B18">
        <v>502319.42301262758</v>
      </c>
      <c r="D18">
        <v>44</v>
      </c>
      <c r="E18">
        <v>15000</v>
      </c>
      <c r="F18">
        <v>0</v>
      </c>
    </row>
    <row r="19" spans="1:6" x14ac:dyDescent="0.25">
      <c r="A19">
        <v>45</v>
      </c>
      <c r="B19">
        <v>552481.78262351151</v>
      </c>
      <c r="D19">
        <v>45</v>
      </c>
      <c r="E19">
        <v>15000</v>
      </c>
      <c r="F19">
        <v>0</v>
      </c>
    </row>
    <row r="20" spans="1:6" x14ac:dyDescent="0.25">
      <c r="A20">
        <v>46</v>
      </c>
      <c r="B20">
        <v>606155.50740715733</v>
      </c>
      <c r="D20">
        <v>46</v>
      </c>
      <c r="E20">
        <v>15000</v>
      </c>
      <c r="F20">
        <v>0</v>
      </c>
    </row>
    <row r="21" spans="1:6" x14ac:dyDescent="0.25">
      <c r="A21">
        <v>47</v>
      </c>
      <c r="B21">
        <v>663586.39292565838</v>
      </c>
      <c r="D21">
        <v>47</v>
      </c>
      <c r="E21">
        <v>15000</v>
      </c>
      <c r="F21">
        <v>0</v>
      </c>
    </row>
    <row r="22" spans="1:6" x14ac:dyDescent="0.25">
      <c r="A22">
        <v>48</v>
      </c>
      <c r="B22">
        <v>725037.44043045456</v>
      </c>
      <c r="D22">
        <v>48</v>
      </c>
      <c r="E22">
        <v>15000</v>
      </c>
      <c r="F22">
        <v>0</v>
      </c>
    </row>
    <row r="23" spans="1:6" x14ac:dyDescent="0.25">
      <c r="A23">
        <v>49</v>
      </c>
      <c r="B23">
        <v>790790.06126058637</v>
      </c>
      <c r="D23">
        <v>49</v>
      </c>
      <c r="E23">
        <v>15000</v>
      </c>
      <c r="F23">
        <v>0</v>
      </c>
    </row>
    <row r="24" spans="1:6" x14ac:dyDescent="0.25">
      <c r="A24">
        <v>50</v>
      </c>
      <c r="B24">
        <v>861145.36554882745</v>
      </c>
      <c r="D24">
        <v>50</v>
      </c>
      <c r="E24">
        <v>15000</v>
      </c>
      <c r="F24">
        <v>0</v>
      </c>
    </row>
    <row r="25" spans="1:6" x14ac:dyDescent="0.25">
      <c r="A25">
        <v>51</v>
      </c>
      <c r="B25">
        <v>936425.54113724548</v>
      </c>
      <c r="D25">
        <v>51</v>
      </c>
      <c r="E25">
        <v>15000</v>
      </c>
      <c r="F25">
        <v>0</v>
      </c>
    </row>
    <row r="26" spans="1:6" x14ac:dyDescent="0.25">
      <c r="A26">
        <v>52</v>
      </c>
      <c r="B26">
        <v>1016975.3290168528</v>
      </c>
      <c r="D26">
        <v>52</v>
      </c>
      <c r="E26">
        <v>15000</v>
      </c>
      <c r="F26">
        <v>0</v>
      </c>
    </row>
    <row r="27" spans="1:6" x14ac:dyDescent="0.25">
      <c r="A27">
        <v>53</v>
      </c>
      <c r="B27">
        <v>1103163.6020480325</v>
      </c>
      <c r="D27">
        <v>53</v>
      </c>
      <c r="E27">
        <v>15000</v>
      </c>
      <c r="F27">
        <v>0</v>
      </c>
    </row>
    <row r="28" spans="1:6" x14ac:dyDescent="0.25">
      <c r="A28">
        <v>54</v>
      </c>
      <c r="B28">
        <v>1195385.0541913947</v>
      </c>
      <c r="D28">
        <v>54</v>
      </c>
      <c r="E28">
        <v>15000</v>
      </c>
      <c r="F28">
        <v>0</v>
      </c>
    </row>
    <row r="29" spans="1:6" x14ac:dyDescent="0.25">
      <c r="A29">
        <v>55</v>
      </c>
      <c r="B29">
        <v>1294062.0079847923</v>
      </c>
      <c r="D29">
        <v>55</v>
      </c>
      <c r="E29">
        <v>15000</v>
      </c>
      <c r="F29">
        <v>0</v>
      </c>
    </row>
    <row r="30" spans="1:6" x14ac:dyDescent="0.25">
      <c r="A30">
        <v>56</v>
      </c>
      <c r="B30">
        <v>1399646.348543728</v>
      </c>
      <c r="D30">
        <v>56</v>
      </c>
      <c r="E30">
        <v>15000</v>
      </c>
      <c r="F30">
        <v>0</v>
      </c>
    </row>
    <row r="31" spans="1:6" x14ac:dyDescent="0.25">
      <c r="A31">
        <v>57</v>
      </c>
      <c r="B31">
        <v>1512621.592941789</v>
      </c>
      <c r="D31">
        <v>57</v>
      </c>
      <c r="E31">
        <v>15000</v>
      </c>
      <c r="F31">
        <v>0</v>
      </c>
    </row>
    <row r="32" spans="1:6" x14ac:dyDescent="0.25">
      <c r="A32">
        <v>58</v>
      </c>
      <c r="B32">
        <v>1633505.1044477143</v>
      </c>
      <c r="D32">
        <v>58</v>
      </c>
      <c r="E32">
        <v>15000</v>
      </c>
      <c r="F32">
        <v>0</v>
      </c>
    </row>
    <row r="33" spans="1:6" x14ac:dyDescent="0.25">
      <c r="A33">
        <v>59</v>
      </c>
      <c r="B33">
        <v>1762850.4617590543</v>
      </c>
      <c r="D33">
        <v>59</v>
      </c>
      <c r="E33">
        <v>15000</v>
      </c>
      <c r="F33">
        <v>0</v>
      </c>
    </row>
    <row r="34" spans="1:6" x14ac:dyDescent="0.25">
      <c r="A34">
        <v>60</v>
      </c>
      <c r="B34">
        <v>1901249.9940821882</v>
      </c>
      <c r="D34">
        <v>60</v>
      </c>
      <c r="E34">
        <v>15000</v>
      </c>
      <c r="F34">
        <v>0</v>
      </c>
    </row>
    <row r="35" spans="1:6" x14ac:dyDescent="0.25">
      <c r="A35">
        <v>61</v>
      </c>
      <c r="B35">
        <v>2049337.4936679415</v>
      </c>
      <c r="D35">
        <v>61</v>
      </c>
      <c r="E35">
        <v>15000</v>
      </c>
      <c r="F35">
        <v>0</v>
      </c>
    </row>
    <row r="36" spans="1:6" x14ac:dyDescent="0.25">
      <c r="A36">
        <v>62</v>
      </c>
      <c r="B36">
        <v>2207791.1182246977</v>
      </c>
      <c r="D36">
        <v>62</v>
      </c>
      <c r="E36">
        <v>15000</v>
      </c>
      <c r="F36">
        <v>0</v>
      </c>
    </row>
    <row r="37" spans="1:6" x14ac:dyDescent="0.25">
      <c r="A37">
        <v>63</v>
      </c>
      <c r="B37">
        <v>2377336.4965004264</v>
      </c>
      <c r="D37">
        <v>63</v>
      </c>
      <c r="E37">
        <v>15000</v>
      </c>
      <c r="F37">
        <v>0</v>
      </c>
    </row>
    <row r="38" spans="1:6" x14ac:dyDescent="0.25">
      <c r="A38">
        <v>64</v>
      </c>
      <c r="B38">
        <v>2558750.0512554566</v>
      </c>
      <c r="D38">
        <v>64</v>
      </c>
      <c r="E38">
        <v>15000</v>
      </c>
      <c r="F38">
        <v>0</v>
      </c>
    </row>
    <row r="39" spans="1:6" x14ac:dyDescent="0.25">
      <c r="A39">
        <v>65</v>
      </c>
      <c r="B39">
        <v>2553245.9985607676</v>
      </c>
      <c r="D39">
        <v>65</v>
      </c>
      <c r="E39">
        <v>18000</v>
      </c>
      <c r="F39">
        <v>125854.05474490728</v>
      </c>
    </row>
    <row r="40" spans="1:6" x14ac:dyDescent="0.25">
      <c r="A40">
        <v>66</v>
      </c>
      <c r="B40">
        <v>2544375.4323896682</v>
      </c>
      <c r="D40">
        <v>66</v>
      </c>
      <c r="E40">
        <v>18000</v>
      </c>
      <c r="F40">
        <v>129000.40611353</v>
      </c>
    </row>
    <row r="41" spans="1:6" x14ac:dyDescent="0.25">
      <c r="A41">
        <v>67</v>
      </c>
      <c r="B41">
        <v>2531925.0334188868</v>
      </c>
      <c r="D41">
        <v>67</v>
      </c>
      <c r="E41">
        <v>18000</v>
      </c>
      <c r="F41">
        <v>132225.41626636821</v>
      </c>
    </row>
    <row r="42" spans="1:6" x14ac:dyDescent="0.25">
      <c r="A42">
        <v>68</v>
      </c>
      <c r="B42">
        <v>2515670.9830826153</v>
      </c>
      <c r="D42">
        <v>68</v>
      </c>
      <c r="E42">
        <v>18000</v>
      </c>
      <c r="F42">
        <v>135531.05167302742</v>
      </c>
    </row>
    <row r="43" spans="1:6" x14ac:dyDescent="0.25">
      <c r="A43">
        <v>69</v>
      </c>
      <c r="B43">
        <v>2495378.4944410669</v>
      </c>
      <c r="D43">
        <v>69</v>
      </c>
      <c r="E43">
        <v>18000</v>
      </c>
      <c r="F43">
        <v>138919.32796485312</v>
      </c>
    </row>
    <row r="44" spans="1:6" x14ac:dyDescent="0.25">
      <c r="A44">
        <v>70</v>
      </c>
      <c r="B44">
        <v>2470801.3230547351</v>
      </c>
      <c r="D44">
        <v>70</v>
      </c>
      <c r="E44">
        <v>18000</v>
      </c>
      <c r="F44">
        <v>142392.3111639744</v>
      </c>
    </row>
    <row r="45" spans="1:6" x14ac:dyDescent="0.25">
      <c r="A45">
        <v>71</v>
      </c>
      <c r="B45">
        <v>2441681.257033851</v>
      </c>
      <c r="D45">
        <v>71</v>
      </c>
      <c r="E45">
        <v>18000</v>
      </c>
      <c r="F45">
        <v>145952.11894307379</v>
      </c>
    </row>
    <row r="46" spans="1:6" x14ac:dyDescent="0.25">
      <c r="A46">
        <v>72</v>
      </c>
      <c r="B46">
        <v>2407747.5853985543</v>
      </c>
      <c r="D46">
        <v>72</v>
      </c>
      <c r="E46">
        <v>18000</v>
      </c>
      <c r="F46">
        <v>149600.92191665061</v>
      </c>
    </row>
    <row r="47" spans="1:6" x14ac:dyDescent="0.25">
      <c r="A47">
        <v>73</v>
      </c>
      <c r="B47">
        <v>2368716.5438499297</v>
      </c>
      <c r="D47">
        <v>73</v>
      </c>
      <c r="E47">
        <v>18000</v>
      </c>
      <c r="F47">
        <v>153340.94496456685</v>
      </c>
    </row>
    <row r="48" spans="1:6" x14ac:dyDescent="0.25">
      <c r="A48">
        <v>74</v>
      </c>
      <c r="B48">
        <v>2324290.7370152459</v>
      </c>
      <c r="D48">
        <v>74</v>
      </c>
      <c r="E48">
        <v>18000</v>
      </c>
      <c r="F48">
        <v>157174.46858868102</v>
      </c>
    </row>
    <row r="49" spans="1:6" x14ac:dyDescent="0.25">
      <c r="A49">
        <v>75</v>
      </c>
      <c r="B49">
        <v>2274158.5361924581</v>
      </c>
      <c r="D49">
        <v>75</v>
      </c>
      <c r="E49">
        <v>18000</v>
      </c>
      <c r="F49">
        <v>161103.83030339802</v>
      </c>
    </row>
    <row r="50" spans="1:6" x14ac:dyDescent="0.25">
      <c r="A50">
        <v>76</v>
      </c>
      <c r="B50">
        <v>2217993.4515791736</v>
      </c>
      <c r="D50">
        <v>76</v>
      </c>
      <c r="E50">
        <v>18000</v>
      </c>
      <c r="F50">
        <v>165131.42606098298</v>
      </c>
    </row>
    <row r="51" spans="1:6" x14ac:dyDescent="0.25">
      <c r="A51">
        <v>77</v>
      </c>
      <c r="B51">
        <v>2155453.4779298329</v>
      </c>
      <c r="D51">
        <v>77</v>
      </c>
      <c r="E51">
        <v>18000</v>
      </c>
      <c r="F51">
        <v>169259.71171250756</v>
      </c>
    </row>
    <row r="52" spans="1:6" x14ac:dyDescent="0.25">
      <c r="A52">
        <v>78</v>
      </c>
      <c r="B52">
        <v>2086180.4125417061</v>
      </c>
      <c r="D52">
        <v>78</v>
      </c>
      <c r="E52">
        <v>18000</v>
      </c>
      <c r="F52">
        <v>173491.20450532023</v>
      </c>
    </row>
    <row r="53" spans="1:6" x14ac:dyDescent="0.25">
      <c r="A53">
        <v>79</v>
      </c>
      <c r="B53">
        <v>2009799.144425421</v>
      </c>
      <c r="D53">
        <v>79</v>
      </c>
      <c r="E53">
        <v>18000</v>
      </c>
      <c r="F53">
        <v>177828.48461795322</v>
      </c>
    </row>
    <row r="54" spans="1:6" x14ac:dyDescent="0.25">
      <c r="A54">
        <v>80</v>
      </c>
      <c r="B54">
        <v>1925916.9134690361</v>
      </c>
      <c r="D54">
        <v>80</v>
      </c>
      <c r="E54">
        <v>18000</v>
      </c>
      <c r="F54">
        <v>182274.19673340206</v>
      </c>
    </row>
    <row r="55" spans="1:6" x14ac:dyDescent="0.25">
      <c r="A55">
        <v>81</v>
      </c>
      <c r="B55">
        <v>1834122.5383560606</v>
      </c>
      <c r="D55">
        <v>81</v>
      </c>
      <c r="E55">
        <v>18000</v>
      </c>
      <c r="F55">
        <v>186831.05165173707</v>
      </c>
    </row>
    <row r="56" spans="1:6" x14ac:dyDescent="0.25">
      <c r="A56">
        <v>82</v>
      </c>
      <c r="B56">
        <v>1733985.6119472727</v>
      </c>
      <c r="D56">
        <v>82</v>
      </c>
      <c r="E56">
        <v>18000</v>
      </c>
      <c r="F56">
        <v>191501.82794303054</v>
      </c>
    </row>
    <row r="57" spans="1:6" x14ac:dyDescent="0.25">
      <c r="A57">
        <v>83</v>
      </c>
      <c r="B57">
        <v>1625055.6627835575</v>
      </c>
      <c r="D57">
        <v>83</v>
      </c>
      <c r="E57">
        <v>18000</v>
      </c>
      <c r="F57">
        <v>196289.37364160627</v>
      </c>
    </row>
    <row r="58" spans="1:6" x14ac:dyDescent="0.25">
      <c r="A58">
        <v>84</v>
      </c>
      <c r="B58">
        <v>1506861.2813122536</v>
      </c>
      <c r="D58">
        <v>84</v>
      </c>
      <c r="E58">
        <v>18000</v>
      </c>
      <c r="F58">
        <v>201196.60798264641</v>
      </c>
    </row>
    <row r="59" spans="1:6" x14ac:dyDescent="0.25">
      <c r="A59">
        <v>85</v>
      </c>
      <c r="B59">
        <v>1378909.2093825312</v>
      </c>
      <c r="D59">
        <v>85</v>
      </c>
      <c r="E59">
        <v>18000</v>
      </c>
      <c r="F59">
        <v>206226.52318221258</v>
      </c>
    </row>
    <row r="60" spans="1:6" x14ac:dyDescent="0.25">
      <c r="A60">
        <v>86</v>
      </c>
      <c r="B60">
        <v>1240683.3914960646</v>
      </c>
      <c r="D60">
        <v>86</v>
      </c>
      <c r="E60">
        <v>18000</v>
      </c>
      <c r="F60">
        <v>211382.1862617679</v>
      </c>
    </row>
    <row r="61" spans="1:6" x14ac:dyDescent="0.25">
      <c r="A61">
        <v>87</v>
      </c>
      <c r="B61">
        <v>1091643.9862375953</v>
      </c>
      <c r="D61">
        <v>87</v>
      </c>
      <c r="E61">
        <v>18000</v>
      </c>
      <c r="F61">
        <v>216666.74091831208</v>
      </c>
    </row>
    <row r="62" spans="1:6" x14ac:dyDescent="0.25">
      <c r="A62">
        <v>88</v>
      </c>
      <c r="B62">
        <v>931226.33624582936</v>
      </c>
      <c r="D62">
        <v>88</v>
      </c>
      <c r="E62">
        <v>18000</v>
      </c>
      <c r="F62">
        <v>222083.40944126985</v>
      </c>
    </row>
    <row r="63" spans="1:6" x14ac:dyDescent="0.25">
      <c r="A63">
        <v>89</v>
      </c>
      <c r="B63">
        <v>758839.89501836093</v>
      </c>
      <c r="D63">
        <v>89</v>
      </c>
      <c r="E63">
        <v>18000</v>
      </c>
      <c r="F63">
        <v>227635.49467730158</v>
      </c>
    </row>
    <row r="64" spans="1:6" x14ac:dyDescent="0.25">
      <c r="A64">
        <v>90</v>
      </c>
      <c r="B64">
        <v>573867.10877486132</v>
      </c>
      <c r="D64">
        <v>90</v>
      </c>
      <c r="E64">
        <v>18000</v>
      </c>
      <c r="F64">
        <v>233326.38204423411</v>
      </c>
    </row>
  </sheetData>
  <mergeCells count="1">
    <mergeCell ref="A1:F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9333E-4CFD-448C-97BC-E09159E8CFEB}">
  <dimension ref="A1:H40"/>
  <sheetViews>
    <sheetView showGridLines="0" showRowColHeaders="0" zoomScaleNormal="100" workbookViewId="0">
      <selection activeCell="F11" sqref="F11"/>
    </sheetView>
  </sheetViews>
  <sheetFormatPr defaultColWidth="0" defaultRowHeight="15" customHeight="1" zeroHeight="1" x14ac:dyDescent="0.25"/>
  <cols>
    <col min="1" max="1" width="4" customWidth="1"/>
    <col min="2" max="2" width="46.28515625" customWidth="1"/>
    <col min="3" max="3" width="61" customWidth="1"/>
    <col min="4" max="4" width="1.42578125" customWidth="1"/>
    <col min="5" max="7" width="9.140625" customWidth="1"/>
    <col min="8" max="16384" width="9.140625" hidden="1"/>
  </cols>
  <sheetData>
    <row r="1" spans="1:8" ht="51" customHeight="1" x14ac:dyDescent="0.25">
      <c r="A1" s="11"/>
      <c r="B1" s="9" t="s">
        <v>57</v>
      </c>
      <c r="C1" s="9"/>
      <c r="D1" s="9"/>
      <c r="E1" s="9"/>
      <c r="F1" s="9"/>
      <c r="G1" s="9"/>
      <c r="H1" s="9"/>
    </row>
    <row r="2" spans="1:8" x14ac:dyDescent="0.25"/>
    <row r="3" spans="1:8" x14ac:dyDescent="0.25">
      <c r="B3" s="7" t="s">
        <v>58</v>
      </c>
    </row>
    <row r="4" spans="1:8" x14ac:dyDescent="0.25">
      <c r="B4" s="12" t="s">
        <v>59</v>
      </c>
      <c r="C4" s="13" t="s">
        <v>60</v>
      </c>
    </row>
    <row r="5" spans="1:8" x14ac:dyDescent="0.25">
      <c r="B5" s="12" t="s">
        <v>61</v>
      </c>
      <c r="C5" s="13" t="s">
        <v>62</v>
      </c>
    </row>
    <row r="6" spans="1:8" x14ac:dyDescent="0.25">
      <c r="B6" s="12" t="s">
        <v>63</v>
      </c>
      <c r="C6" s="13" t="s">
        <v>64</v>
      </c>
    </row>
    <row r="7" spans="1:8" x14ac:dyDescent="0.25"/>
    <row r="8" spans="1:8" x14ac:dyDescent="0.25">
      <c r="B8" s="7" t="s">
        <v>65</v>
      </c>
    </row>
    <row r="9" spans="1:8" x14ac:dyDescent="0.25">
      <c r="B9" s="12" t="s">
        <v>66</v>
      </c>
      <c r="C9" s="13" t="s">
        <v>67</v>
      </c>
    </row>
    <row r="10" spans="1:8" x14ac:dyDescent="0.25"/>
    <row r="11" spans="1:8" x14ac:dyDescent="0.25">
      <c r="B11" s="7" t="s">
        <v>68</v>
      </c>
    </row>
    <row r="12" spans="1:8" x14ac:dyDescent="0.25">
      <c r="B12" s="12" t="s">
        <v>69</v>
      </c>
      <c r="C12" s="13" t="s">
        <v>70</v>
      </c>
    </row>
    <row r="13" spans="1:8" x14ac:dyDescent="0.25">
      <c r="B13" s="12" t="s">
        <v>71</v>
      </c>
      <c r="C13" s="13" t="s">
        <v>72</v>
      </c>
    </row>
    <row r="14" spans="1:8" x14ac:dyDescent="0.25">
      <c r="B14" s="12" t="s">
        <v>73</v>
      </c>
      <c r="C14" s="13" t="s">
        <v>74</v>
      </c>
    </row>
    <row r="15" spans="1:8" x14ac:dyDescent="0.25">
      <c r="B15" s="12" t="s">
        <v>75</v>
      </c>
      <c r="C15" s="13" t="s">
        <v>76</v>
      </c>
    </row>
    <row r="16" spans="1:8" x14ac:dyDescent="0.25">
      <c r="B16" s="12" t="s">
        <v>77</v>
      </c>
      <c r="C16" s="13" t="s">
        <v>78</v>
      </c>
    </row>
    <row r="17" spans="2:3" x14ac:dyDescent="0.25">
      <c r="B17" s="12" t="s">
        <v>79</v>
      </c>
      <c r="C17" s="13" t="s">
        <v>80</v>
      </c>
    </row>
    <row r="18" spans="2:3" x14ac:dyDescent="0.25">
      <c r="B18" s="12" t="s">
        <v>81</v>
      </c>
      <c r="C18" s="13" t="s">
        <v>82</v>
      </c>
    </row>
    <row r="19" spans="2:3" x14ac:dyDescent="0.25">
      <c r="B19" s="12" t="s">
        <v>83</v>
      </c>
      <c r="C19" s="13" t="s">
        <v>84</v>
      </c>
    </row>
    <row r="20" spans="2:3" x14ac:dyDescent="0.25">
      <c r="B20" s="12" t="s">
        <v>85</v>
      </c>
      <c r="C20" s="13" t="s">
        <v>86</v>
      </c>
    </row>
    <row r="21" spans="2:3" x14ac:dyDescent="0.25">
      <c r="B21" s="12" t="s">
        <v>87</v>
      </c>
      <c r="C21" s="13" t="s">
        <v>88</v>
      </c>
    </row>
    <row r="22" spans="2:3" x14ac:dyDescent="0.25">
      <c r="B22" s="12" t="s">
        <v>89</v>
      </c>
      <c r="C22" s="13" t="s">
        <v>90</v>
      </c>
    </row>
    <row r="23" spans="2:3" x14ac:dyDescent="0.25">
      <c r="B23" s="12" t="s">
        <v>91</v>
      </c>
      <c r="C23" s="13" t="s">
        <v>92</v>
      </c>
    </row>
    <row r="24" spans="2:3" x14ac:dyDescent="0.25">
      <c r="B24" s="12" t="s">
        <v>93</v>
      </c>
      <c r="C24" s="13" t="s">
        <v>94</v>
      </c>
    </row>
    <row r="25" spans="2:3" x14ac:dyDescent="0.25">
      <c r="B25" s="12" t="s">
        <v>95</v>
      </c>
      <c r="C25" s="13" t="s">
        <v>96</v>
      </c>
    </row>
    <row r="26" spans="2:3" x14ac:dyDescent="0.25">
      <c r="B26" s="12" t="s">
        <v>97</v>
      </c>
      <c r="C26" s="13" t="s">
        <v>98</v>
      </c>
    </row>
    <row r="27" spans="2:3" x14ac:dyDescent="0.25">
      <c r="B27" s="12" t="s">
        <v>99</v>
      </c>
      <c r="C27" s="13" t="s">
        <v>100</v>
      </c>
    </row>
    <row r="28" spans="2:3" x14ac:dyDescent="0.25">
      <c r="B28" s="12" t="s">
        <v>101</v>
      </c>
      <c r="C28" s="13" t="s">
        <v>102</v>
      </c>
    </row>
    <row r="29" spans="2:3" x14ac:dyDescent="0.25">
      <c r="B29" s="12" t="s">
        <v>85</v>
      </c>
      <c r="C29" s="13" t="s">
        <v>86</v>
      </c>
    </row>
    <row r="30" spans="2:3" x14ac:dyDescent="0.25">
      <c r="B30" s="12" t="s">
        <v>103</v>
      </c>
      <c r="C30" s="13" t="s">
        <v>104</v>
      </c>
    </row>
    <row r="31" spans="2:3" x14ac:dyDescent="0.25">
      <c r="B31" s="12"/>
      <c r="C31" s="13"/>
    </row>
    <row r="32" spans="2:3" x14ac:dyDescent="0.25">
      <c r="B32" s="7" t="s">
        <v>105</v>
      </c>
    </row>
    <row r="33" spans="2:3" x14ac:dyDescent="0.25">
      <c r="B33" s="12" t="s">
        <v>106</v>
      </c>
      <c r="C33" s="13" t="s">
        <v>107</v>
      </c>
    </row>
    <row r="34" spans="2:3" x14ac:dyDescent="0.25">
      <c r="B34" s="12"/>
      <c r="C34" s="13"/>
    </row>
    <row r="35" spans="2:3" x14ac:dyDescent="0.25">
      <c r="B35" s="7" t="s">
        <v>108</v>
      </c>
      <c r="C35" s="13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EF5CED65-DF46-4E1C-A549-D2EC24825577}"/>
    <hyperlink ref="C6" r:id="rId2" display="http://www.myonlinetraininghub.com/category/excel-dashboard" xr:uid="{11B00BA1-A266-43FA-807E-E27D428A1173}"/>
    <hyperlink ref="C9" r:id="rId3" display="http://www.myonlinetraininghub.com/excel-webinars" xr:uid="{E03B126A-C65A-4B8F-9613-DF9C7BCA905E}"/>
    <hyperlink ref="C33" r:id="rId4" xr:uid="{5F5A0234-0FFE-4E6E-A533-53590CFB1AAA}"/>
    <hyperlink ref="C4" r:id="rId5" xr:uid="{49BBAB47-E0D7-48C9-898D-E3001ACE7B79}"/>
    <hyperlink ref="C19" r:id="rId6" xr:uid="{B5ABFF9B-57A0-4219-8F03-D2BBA7BA05C2}"/>
    <hyperlink ref="C18" r:id="rId7" xr:uid="{73BF9CBB-8396-46B5-93CC-3B5C05D368E0}"/>
    <hyperlink ref="C12" r:id="rId8" xr:uid="{E7B495F1-A987-4983-BDE6-3E873FE9A4FD}"/>
    <hyperlink ref="C13" r:id="rId9" xr:uid="{D730ACBD-5732-4214-86B5-6A61964A0B0C}"/>
    <hyperlink ref="C14" r:id="rId10" xr:uid="{2271558F-8B56-4342-96A6-4672C7C605B0}"/>
    <hyperlink ref="C15" r:id="rId11" xr:uid="{82F24FC2-9A51-4597-8729-7001F54CE81B}"/>
    <hyperlink ref="C16" r:id="rId12" xr:uid="{682E9805-97CC-4869-BFED-AB44312ABA0A}"/>
    <hyperlink ref="C17" r:id="rId13" xr:uid="{672175E6-5EC3-4A51-A913-C0135E4004EF}"/>
    <hyperlink ref="C22" r:id="rId14" xr:uid="{231E3FFA-F19B-43D2-A35D-800EA20E8901}"/>
    <hyperlink ref="C23" r:id="rId15" xr:uid="{B60F2707-54BD-4E9B-913C-637F48604B54}"/>
    <hyperlink ref="C24" r:id="rId16" xr:uid="{026E2B27-53A2-4697-9F44-0B7D54D77556}"/>
    <hyperlink ref="C25" r:id="rId17" xr:uid="{3FFA3A40-CB27-4394-8285-857F6042139F}"/>
    <hyperlink ref="C26" r:id="rId18" xr:uid="{76AFE18A-DA2F-46E0-AAC3-ACA8A2E1F4A1}"/>
    <hyperlink ref="C27" r:id="rId19" xr:uid="{8049CA89-E806-406D-BA59-EEBB5D5DC359}"/>
    <hyperlink ref="C30" r:id="rId20" xr:uid="{46F19A59-0218-4D50-BEF9-472A3F28F2F4}"/>
  </hyperlinks>
  <pageMargins left="0.7" right="0.7" top="0.75" bottom="0.75" header="0.3" footer="0.3"/>
  <drawing r:id="rId2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d579085-3de5-41fc-9f0a-bba038b31af5" xsi:nil="true"/>
    <lcf76f155ced4ddcb4097134ff3c332f xmlns="8d463809-8ae6-4eb2-a14b-50faafc5057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A9CF2F80553F44DB538DFBFFA514173" ma:contentTypeVersion="14" ma:contentTypeDescription="Create a new document." ma:contentTypeScope="" ma:versionID="7ee3e392550d5e084dabede89b1586f7">
  <xsd:schema xmlns:xsd="http://www.w3.org/2001/XMLSchema" xmlns:xs="http://www.w3.org/2001/XMLSchema" xmlns:p="http://schemas.microsoft.com/office/2006/metadata/properties" xmlns:ns2="8d463809-8ae6-4eb2-a14b-50faafc5057b" xmlns:ns3="7d579085-3de5-41fc-9f0a-bba038b31af5" targetNamespace="http://schemas.microsoft.com/office/2006/metadata/properties" ma:root="true" ma:fieldsID="be4d241f4f28f742e6f1ebf1547e76a7" ns2:_="" ns3:_="">
    <xsd:import namespace="8d463809-8ae6-4eb2-a14b-50faafc5057b"/>
    <xsd:import namespace="7d579085-3de5-41fc-9f0a-bba038b31af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463809-8ae6-4eb2-a14b-50faafc505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32e3ad1-47c4-459e-adcb-0ed37a573b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579085-3de5-41fc-9f0a-bba038b31af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0e2cd1d-b291-48b9-97ab-4a8b4fc02422}" ma:internalName="TaxCatchAll" ma:showField="CatchAllData" ma:web="7d579085-3de5-41fc-9f0a-bba038b31af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C3EF110-12E9-4A73-BFF4-39E2B95C82FE}">
  <ds:schemaRefs>
    <ds:schemaRef ds:uri="http://schemas.microsoft.com/office/2006/metadata/properties"/>
    <ds:schemaRef ds:uri="http://schemas.microsoft.com/office/infopath/2007/PartnerControls"/>
    <ds:schemaRef ds:uri="7d579085-3de5-41fc-9f0a-bba038b31af5"/>
    <ds:schemaRef ds:uri="8d463809-8ae6-4eb2-a14b-50faafc5057b"/>
  </ds:schemaRefs>
</ds:datastoreItem>
</file>

<file path=customXml/itemProps2.xml><?xml version="1.0" encoding="utf-8"?>
<ds:datastoreItem xmlns:ds="http://schemas.openxmlformats.org/officeDocument/2006/customXml" ds:itemID="{332EFF1F-FA49-4875-9238-748DF90F6E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463809-8ae6-4eb2-a14b-50faafc5057b"/>
    <ds:schemaRef ds:uri="7d579085-3de5-41fc-9f0a-bba038b31af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27ED9B1-7109-4B78-8972-E017E351975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HeadingPairs>
  <TitlesOfParts>
    <vt:vector size="18" baseType="lpstr">
      <vt:lpstr>Copyright</vt:lpstr>
      <vt:lpstr>Inputs</vt:lpstr>
      <vt:lpstr>Projection</vt:lpstr>
      <vt:lpstr>Drawdown</vt:lpstr>
      <vt:lpstr>Dashboard</vt:lpstr>
      <vt:lpstr>More Resources</vt:lpstr>
      <vt:lpstr>AnnualContributionInput</vt:lpstr>
      <vt:lpstr>ContributionFrequency</vt:lpstr>
      <vt:lpstr>CurrentAge</vt:lpstr>
      <vt:lpstr>CurrentBalance</vt:lpstr>
      <vt:lpstr>InflationRate</vt:lpstr>
      <vt:lpstr>LifeExpectancy</vt:lpstr>
      <vt:lpstr>PostRetRate</vt:lpstr>
      <vt:lpstr>PreRetRate</vt:lpstr>
      <vt:lpstr>RetireAge</vt:lpstr>
      <vt:lpstr>SpendingToday</vt:lpstr>
      <vt:lpstr>SSAmount</vt:lpstr>
      <vt:lpstr>SSToggle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Mynda Treacy</dc:creator>
  <cp:keywords/>
  <dc:description/>
  <cp:lastModifiedBy>Mynda Treacy</cp:lastModifiedBy>
  <cp:revision/>
  <dcterms:created xsi:type="dcterms:W3CDTF">2025-10-31T05:27:16Z</dcterms:created>
  <dcterms:modified xsi:type="dcterms:W3CDTF">2025-11-10T06:18:40Z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0x0101000A9CF2F80553F44DB538DFBFFA514173</vt:lpwstr>
  </property>
  <property fmtid="{D5CDD505-2E9C-101B-9397-08002B2CF9AE}" pid="3" name="MediaServiceImageTags">
    <vt:lpwstr/>
  </property>
</Properties>
</file>