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Training\Training Content\Excel Sample Files\"/>
    </mc:Choice>
  </mc:AlternateContent>
  <bookViews>
    <workbookView xWindow="120" yWindow="120" windowWidth="19095" windowHeight="12270"/>
  </bookViews>
  <sheets>
    <sheet name="Menu" sheetId="27" r:id="rId1"/>
    <sheet name="Time Calculations" sheetId="1" r:id="rId2"/>
    <sheet name="Cell Formatting" sheetId="2" r:id="rId3"/>
    <sheet name="Conditional Formatting" sheetId="3" r:id="rId4"/>
    <sheet name="Filters" sheetId="4" r:id="rId5"/>
    <sheet name="CHOOSE with VLOOKUP" sheetId="5" r:id="rId6"/>
    <sheet name="Insert a Subtotal" sheetId="6" r:id="rId7"/>
    <sheet name="Group &amp; Outline" sheetId="7" r:id="rId8"/>
    <sheet name="Text to Columns" sheetId="8" r:id="rId9"/>
    <sheet name="CONCATENATE" sheetId="9" r:id="rId10"/>
    <sheet name="T Function" sheetId="10" r:id="rId11"/>
    <sheet name="N Function" sheetId="11" r:id="rId12"/>
    <sheet name="Camera Tool" sheetId="13" r:id="rId13"/>
    <sheet name="Compound Interest" sheetId="14" r:id="rId14"/>
    <sheet name="RAND &amp; RANDBETWEEN" sheetId="15" r:id="rId15"/>
    <sheet name="Shapes &amp; Smart Art" sheetId="16" r:id="rId16"/>
    <sheet name="STDEV" sheetId="17" r:id="rId17"/>
    <sheet name="MIN &amp; MAX" sheetId="18" r:id="rId18"/>
    <sheet name="CHOOSE" sheetId="19" r:id="rId19"/>
    <sheet name="CEILING &amp; FLOOR" sheetId="20" r:id="rId20"/>
    <sheet name="UPPER &amp; LOWER" sheetId="21" r:id="rId21"/>
    <sheet name="TRIM" sheetId="22" r:id="rId22"/>
    <sheet name="SUMPRODUCT" sheetId="23" r:id="rId23"/>
    <sheet name="Array Formulas" sheetId="24" r:id="rId24"/>
    <sheet name="VLOOKUP COLUMNS" sheetId="25" r:id="rId25"/>
  </sheets>
  <externalReferences>
    <externalReference r:id="rId26"/>
    <externalReference r:id="rId27"/>
  </externalReferences>
  <definedNames>
    <definedName name="_xlnm._FilterDatabase" localSheetId="5" hidden="1">'CHOOSE with VLOOKUP'!$A$1:$K$207</definedName>
    <definedName name="_xlnm._FilterDatabase" localSheetId="3" hidden="1">'Conditional Formatting'!$F$2:$F$31</definedName>
    <definedName name="_xlnm._FilterDatabase" localSheetId="4" hidden="1">Filters!$A$1:$K$207</definedName>
    <definedName name="_xlnm._FilterDatabase" localSheetId="6" hidden="1">'Insert a Subtotal'!$C$1:$D$158</definedName>
    <definedName name="_xlnm._FilterDatabase" localSheetId="22" hidden="1">SUMPRODUCT!$A$1:$I$207</definedName>
    <definedName name="BatMan">OFFSET('[1]Sparklines 2010 Only'!$B$247,0,0,1,COUNTA('[1]Sparklines 2010 Only'!$247:$247))</definedName>
    <definedName name="BatManRows">OFFSET('[1]Sparklines 2010 Only'!$I$269,0,0,COUNTA('[1]Sparklines 2010 Only'!$I$269:$I$1002),1)</definedName>
    <definedName name="BenTen">OFFSET('[1]Sparklines 2010 Only'!$B$248,0,0,1,COUNTA('[1]Sparklines 2010 Only'!$248:$248))</definedName>
    <definedName name="bid">SUMPRODUCT!$E$2:$E$207</definedName>
    <definedName name="BobBuilder">OFFSET('[1]Sparklines 2010 Only'!$B$249,0,0,1,COUNTA('[1]Sparklines 2010 Only'!$249:$249))</definedName>
    <definedName name="ComRates">'[2]HLOOKUP Exact Match'!$I$1:$P$2</definedName>
    <definedName name="Date">'Array Formulas'!$O$5:$O$37</definedName>
    <definedName name="DateCol">SUMPRODUCT!$I$2:$I$207</definedName>
    <definedName name="duration">SUMPRODUCT!$F$2:$F$207</definedName>
    <definedName name="DynamicList">OFFSET('[2]Dynamic List'!$A$4,0,0,COUNTA([2]OFFSET!$A:$A)+'[2]Dynamic List'!$B$4-1,1)</definedName>
    <definedName name="Employee">'Array Formulas'!$N$5:$N$37</definedName>
    <definedName name="_xlnm.Extract" localSheetId="4">Filters!$L$4:$W$4</definedName>
    <definedName name="_xlnm.Extract" localSheetId="6">'Insert a Subtotal'!$E$5:$P$5</definedName>
    <definedName name="issued">SUMPRODUCT!#REF!</definedName>
    <definedName name="jumps">SUMPRODUCT!$H$2:$H$207</definedName>
    <definedName name="ListPrograms">[2]!Table4[Program List]</definedName>
    <definedName name="Markup">1.05</definedName>
    <definedName name="MrMaker">OFFSET('[1]Sparklines 2010 Only'!$B$250,0,0,1,COUNTA('[1]Sparklines 2010 Only'!$250:$250))</definedName>
    <definedName name="negative">'Camera Tool'!$A$24:$H$38</definedName>
    <definedName name="NightGarden">OFFSET('[1]Sparklines 2010 Only'!$B$251,0,0,1,COUNTA('[1]Sparklines 2010 Only'!$251:$251))</definedName>
    <definedName name="Overtime">'Array Formulas'!$P$5:$P$37</definedName>
    <definedName name="positive">'Camera Tool'!$A$8:$H$22</definedName>
    <definedName name="price">SUMPRODUCT!$A$2:$A$207</definedName>
    <definedName name="_xlnm.Print_Area" localSheetId="0">Menu!$A$1:$H$28</definedName>
    <definedName name="_xlnm.Print_Area" localSheetId="16">STDEV!$A$1:$L$17</definedName>
    <definedName name="_xlnm.Print_Titles" localSheetId="0">Menu!$1:$3</definedName>
    <definedName name="range">SUMPRODUCT!$B$2:$B$207</definedName>
    <definedName name="Region">'Array Formulas'!$B$6:$B$11</definedName>
    <definedName name="results">'Camera Tool'!$B$6</definedName>
    <definedName name="Sales">'Array Formulas'!$C$6:$C$11</definedName>
    <definedName name="Sales_Person">'Array Formulas'!$A$6:$A$11</definedName>
    <definedName name="solarSystem">SUMPRODUCT!$G$2:$G$207</definedName>
    <definedName name="SpiderMan">OFFSET('[1]Sparklines 2010 Only'!$B$252,0,0,1,COUNTA('[1]Sparklines 2010 Only'!$252:$252))</definedName>
    <definedName name="Viewers">'[2]Named Ranges'!$C$2:$C$30</definedName>
    <definedName name="volRemaining">SUMPRODUCT!#REF!</definedName>
    <definedName name="Volume">SUMPRODUCT!$D$2:$D$207</definedName>
    <definedName name="Wiggles">OFFSET('[1]Sparklines 2010 Only'!$B$253,0,0,1,COUNTA('[1]Sparklines 2010 Only'!$253:$253))</definedName>
  </definedNames>
  <calcPr calcId="152511"/>
</workbook>
</file>

<file path=xl/calcChain.xml><?xml version="1.0" encoding="utf-8"?>
<calcChain xmlns="http://schemas.openxmlformats.org/spreadsheetml/2006/main">
  <c r="D16" i="25" l="1"/>
  <c r="C16" i="25"/>
  <c r="F10" i="25"/>
  <c r="F7" i="25"/>
  <c r="S30" i="24" a="1"/>
  <c r="S30" i="24" s="1"/>
  <c r="T37" i="24" a="1"/>
  <c r="T37" i="24" s="1"/>
  <c r="T36" i="24" a="1"/>
  <c r="T36" i="24" s="1"/>
  <c r="T35" i="24" a="1"/>
  <c r="T35" i="24" s="1"/>
  <c r="T34" i="24" a="1"/>
  <c r="T34" i="24" s="1"/>
  <c r="T33" i="24" a="1"/>
  <c r="T33" i="24" s="1"/>
  <c r="T32" i="24" a="1"/>
  <c r="T32" i="24" s="1"/>
  <c r="T31" i="24" a="1"/>
  <c r="T31" i="24" s="1"/>
  <c r="T30" i="24" a="1"/>
  <c r="T30" i="24" s="1"/>
  <c r="S37" i="24" a="1"/>
  <c r="S37" i="24" s="1"/>
  <c r="S36" i="24" a="1"/>
  <c r="S36" i="24" s="1"/>
  <c r="S35" i="24" a="1"/>
  <c r="S35" i="24" s="1"/>
  <c r="S34" i="24" a="1"/>
  <c r="S34" i="24" s="1"/>
  <c r="S33" i="24" a="1"/>
  <c r="S33" i="24" s="1"/>
  <c r="S32" i="24" a="1"/>
  <c r="S32" i="24" s="1"/>
  <c r="S31" i="24" a="1"/>
  <c r="S31" i="24" s="1"/>
  <c r="S18" i="24" a="1"/>
  <c r="S18" i="24" s="1"/>
  <c r="S6" i="24" a="1"/>
  <c r="S6" i="24" s="1"/>
  <c r="T24" i="24" a="1"/>
  <c r="T24" i="24" s="1"/>
  <c r="S24" i="24" a="1"/>
  <c r="S24" i="24" s="1"/>
  <c r="T23" i="24" a="1"/>
  <c r="T23" i="24" s="1"/>
  <c r="S23" i="24" a="1"/>
  <c r="S23" i="24" s="1"/>
  <c r="T22" i="24" a="1"/>
  <c r="T22" i="24" s="1"/>
  <c r="S22" i="24" a="1"/>
  <c r="S22" i="24" s="1"/>
  <c r="T21" i="24" a="1"/>
  <c r="T21" i="24" s="1"/>
  <c r="S21" i="24" a="1"/>
  <c r="S21" i="24" s="1"/>
  <c r="T20" i="24" a="1"/>
  <c r="T20" i="24" s="1"/>
  <c r="S20" i="24" a="1"/>
  <c r="S20" i="24" s="1"/>
  <c r="T19" i="24" a="1"/>
  <c r="T19" i="24" s="1"/>
  <c r="S19" i="24" a="1"/>
  <c r="S19" i="24" s="1"/>
  <c r="T18" i="24" a="1"/>
  <c r="T18" i="24" s="1"/>
  <c r="D18" i="24"/>
  <c r="D19" i="24"/>
  <c r="D20" i="24"/>
  <c r="D21" i="24"/>
  <c r="D22" i="24"/>
  <c r="D23" i="24"/>
  <c r="F15" i="24" a="1"/>
  <c r="F15" i="24" s="1"/>
  <c r="F8" i="24"/>
  <c r="T12" i="24" a="1"/>
  <c r="T12" i="24" s="1"/>
  <c r="T11" i="24" a="1"/>
  <c r="T11" i="24" s="1"/>
  <c r="T10" i="24" a="1"/>
  <c r="T10" i="24" s="1"/>
  <c r="T9" i="24" a="1"/>
  <c r="T9" i="24" s="1"/>
  <c r="T8" i="24" a="1"/>
  <c r="T8" i="24" s="1"/>
  <c r="T7" i="24" a="1"/>
  <c r="T7" i="24" s="1"/>
  <c r="T6" i="24" a="1"/>
  <c r="T6" i="24" s="1"/>
  <c r="S12" i="24" a="1"/>
  <c r="S12" i="24" s="1"/>
  <c r="S11" i="24" a="1"/>
  <c r="S11" i="24" s="1"/>
  <c r="S10" i="24" a="1"/>
  <c r="S10" i="24" s="1"/>
  <c r="S9" i="24" a="1"/>
  <c r="S9" i="24" s="1"/>
  <c r="S7" i="24" a="1"/>
  <c r="S7" i="24" s="1"/>
  <c r="S8" i="24" a="1"/>
  <c r="S8" i="24" s="1"/>
  <c r="T25" i="24" l="1"/>
  <c r="S25" i="24"/>
  <c r="D24" i="24"/>
  <c r="S13" i="24"/>
  <c r="T13" i="24"/>
  <c r="K25" i="23" l="1"/>
  <c r="K2" i="23" s="1"/>
  <c r="K22" i="23"/>
  <c r="K15" i="23"/>
  <c r="K14" i="23"/>
  <c r="K16" i="23"/>
  <c r="K19" i="23"/>
  <c r="K11" i="23"/>
  <c r="K8" i="23"/>
  <c r="K5" i="23"/>
  <c r="B13" i="22"/>
  <c r="C6" i="22"/>
  <c r="C5" i="22"/>
  <c r="C4" i="22"/>
  <c r="D7" i="21"/>
  <c r="D8" i="21"/>
  <c r="D9" i="21"/>
  <c r="D10" i="21"/>
  <c r="D11" i="21"/>
  <c r="D12" i="21"/>
  <c r="D6" i="21"/>
  <c r="C7" i="21"/>
  <c r="C8" i="21"/>
  <c r="C9" i="21"/>
  <c r="C10" i="21"/>
  <c r="C11" i="21"/>
  <c r="C12" i="21"/>
  <c r="C6" i="21"/>
  <c r="B7" i="21"/>
  <c r="B8" i="21"/>
  <c r="B9" i="21"/>
  <c r="B10" i="21"/>
  <c r="B11" i="21"/>
  <c r="B12" i="21"/>
  <c r="B6" i="21"/>
  <c r="D29" i="20"/>
  <c r="E29" i="20" s="1"/>
  <c r="D28" i="20"/>
  <c r="E28" i="20" s="1"/>
  <c r="D27" i="20"/>
  <c r="E27" i="20" s="1"/>
  <c r="D26" i="20"/>
  <c r="E26" i="20" s="1"/>
  <c r="D25" i="20"/>
  <c r="E25" i="20" s="1"/>
  <c r="D19" i="20"/>
  <c r="E19" i="20" s="1"/>
  <c r="D18" i="20"/>
  <c r="E18" i="20" s="1"/>
  <c r="D17" i="20"/>
  <c r="E17" i="20" s="1"/>
  <c r="D16" i="20"/>
  <c r="E16" i="20" s="1"/>
  <c r="D15" i="20"/>
  <c r="E15" i="20" s="1"/>
  <c r="D6" i="20"/>
  <c r="E6" i="20" s="1"/>
  <c r="D7" i="20"/>
  <c r="E7" i="20" s="1"/>
  <c r="D8" i="20"/>
  <c r="E8" i="20" s="1"/>
  <c r="D9" i="20"/>
  <c r="E9" i="20" s="1"/>
  <c r="D5" i="20"/>
  <c r="E5" i="20" s="1"/>
  <c r="K6" i="19"/>
  <c r="K11" i="19"/>
  <c r="K7" i="19"/>
  <c r="K8" i="19"/>
  <c r="K9" i="19"/>
  <c r="K10" i="19"/>
  <c r="D12" i="19"/>
  <c r="C12" i="19"/>
  <c r="A8" i="19"/>
  <c r="B8" i="18"/>
  <c r="B7" i="18"/>
  <c r="B6" i="18"/>
  <c r="B5" i="18"/>
  <c r="H7" i="18"/>
  <c r="H8" i="18"/>
  <c r="F22" i="18"/>
  <c r="F20" i="18" s="1"/>
  <c r="E22" i="18"/>
  <c r="E21" i="18" s="1"/>
  <c r="D22" i="18"/>
  <c r="D21" i="18" s="1"/>
  <c r="C22" i="18"/>
  <c r="C20" i="18" s="1"/>
  <c r="B22" i="18"/>
  <c r="B20" i="18" s="1"/>
  <c r="D20" i="18"/>
  <c r="C16" i="17"/>
  <c r="D16" i="17"/>
  <c r="E16" i="17"/>
  <c r="F16" i="17"/>
  <c r="G16" i="17"/>
  <c r="H16" i="17"/>
  <c r="I16" i="17"/>
  <c r="J16" i="17"/>
  <c r="B16" i="17"/>
  <c r="L15" i="17"/>
  <c r="L14" i="17"/>
  <c r="L13" i="17"/>
  <c r="L12" i="17"/>
  <c r="L11" i="17"/>
  <c r="L10" i="17"/>
  <c r="L9" i="17"/>
  <c r="L8" i="17"/>
  <c r="L7" i="17"/>
  <c r="L6" i="17"/>
  <c r="L5" i="17"/>
  <c r="L4" i="17"/>
  <c r="K15" i="17"/>
  <c r="K14" i="17"/>
  <c r="K13" i="17"/>
  <c r="K12" i="17"/>
  <c r="K11" i="17"/>
  <c r="K10" i="17"/>
  <c r="K9" i="17"/>
  <c r="K8" i="17"/>
  <c r="K7" i="17"/>
  <c r="K6" i="17"/>
  <c r="K5" i="17"/>
  <c r="K4" i="17"/>
  <c r="F2" i="15"/>
  <c r="A5" i="15"/>
  <c r="A6" i="15"/>
  <c r="A7" i="15"/>
  <c r="A8" i="15"/>
  <c r="A9" i="15"/>
  <c r="A10" i="15"/>
  <c r="A14" i="15"/>
  <c r="A15" i="15"/>
  <c r="A16" i="15"/>
  <c r="B5" i="15"/>
  <c r="B6" i="15"/>
  <c r="B7" i="15"/>
  <c r="B8" i="15"/>
  <c r="B9" i="15"/>
  <c r="B10" i="15"/>
  <c r="B14" i="15"/>
  <c r="B15" i="15"/>
  <c r="B16" i="15"/>
  <c r="B4" i="15"/>
  <c r="A4" i="15"/>
  <c r="B22" i="14"/>
  <c r="B28" i="14" s="1"/>
  <c r="C22" i="14"/>
  <c r="C23" i="14"/>
  <c r="C28" i="14" s="1"/>
  <c r="B13" i="14"/>
  <c r="B14" i="11"/>
  <c r="C8" i="11"/>
  <c r="A7" i="11"/>
  <c r="C7" i="11" s="1"/>
  <c r="C3" i="11"/>
  <c r="C6" i="11"/>
  <c r="C5" i="11"/>
  <c r="C4" i="11"/>
  <c r="C2" i="11"/>
  <c r="C8" i="10"/>
  <c r="A17" i="10"/>
  <c r="B17" i="10"/>
  <c r="A15" i="10"/>
  <c r="B15" i="10"/>
  <c r="A18" i="10"/>
  <c r="D18" i="10" s="1"/>
  <c r="B18" i="10"/>
  <c r="A19" i="10"/>
  <c r="D19" i="10" s="1"/>
  <c r="B19" i="10"/>
  <c r="A14" i="10"/>
  <c r="C7" i="10"/>
  <c r="C2" i="10"/>
  <c r="C5" i="10"/>
  <c r="C3" i="10"/>
  <c r="C4" i="10"/>
  <c r="C6" i="10"/>
  <c r="B16" i="10"/>
  <c r="A16" i="10"/>
  <c r="B14" i="10"/>
  <c r="D14" i="10" s="1"/>
  <c r="B13" i="10"/>
  <c r="A13" i="10"/>
  <c r="C3" i="9"/>
  <c r="C6" i="9"/>
  <c r="F21" i="18" l="1"/>
  <c r="B24" i="18"/>
  <c r="D13" i="10"/>
  <c r="B21" i="18"/>
  <c r="B25" i="18"/>
  <c r="C21" i="18"/>
  <c r="E20" i="18"/>
  <c r="D15" i="10"/>
  <c r="D16" i="10"/>
  <c r="D17" i="10"/>
  <c r="C5" i="9"/>
  <c r="C4" i="9"/>
  <c r="C2" i="9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D159" i="6"/>
  <c r="D150" i="6"/>
  <c r="D160" i="6" s="1"/>
  <c r="D143" i="6"/>
  <c r="D135" i="6"/>
  <c r="D144" i="6" s="1"/>
  <c r="D125" i="6"/>
  <c r="D117" i="6"/>
  <c r="D126" i="6" s="1"/>
  <c r="D107" i="6"/>
  <c r="D103" i="6"/>
  <c r="D108" i="6" s="1"/>
  <c r="D98" i="6"/>
  <c r="D91" i="6"/>
  <c r="D99" i="6" s="1"/>
  <c r="D82" i="6"/>
  <c r="D76" i="6"/>
  <c r="D69" i="6"/>
  <c r="D64" i="6"/>
  <c r="D70" i="6" s="1"/>
  <c r="D59" i="6"/>
  <c r="D53" i="6"/>
  <c r="D60" i="6" s="1"/>
  <c r="D45" i="6"/>
  <c r="D41" i="6"/>
  <c r="D46" i="6" s="1"/>
  <c r="D35" i="6"/>
  <c r="D28" i="6"/>
  <c r="D36" i="6" s="1"/>
  <c r="D22" i="6"/>
  <c r="D20" i="6"/>
  <c r="D23" i="6" s="1"/>
  <c r="D16" i="6"/>
  <c r="D13" i="6"/>
  <c r="D17" i="6" s="1"/>
  <c r="D8" i="6"/>
  <c r="D4" i="6"/>
  <c r="D9" i="6" s="1"/>
  <c r="D83" i="6"/>
  <c r="N14" i="5"/>
  <c r="K2" i="4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H38" i="3"/>
  <c r="D161" i="6" l="1"/>
  <c r="D162" i="6"/>
  <c r="J3" i="3"/>
  <c r="J5" i="3" s="1"/>
  <c r="J8" i="3" s="1"/>
  <c r="J12" i="3" l="1"/>
  <c r="J4" i="3"/>
  <c r="H3" i="3"/>
  <c r="H6" i="3"/>
  <c r="J5" i="1" l="1"/>
  <c r="K5" i="1"/>
  <c r="L5" i="1"/>
  <c r="M5" i="1"/>
  <c r="I5" i="1"/>
  <c r="F4" i="1"/>
  <c r="A8" i="1"/>
  <c r="C8" i="1"/>
  <c r="H22" i="18"/>
  <c r="H20" i="18"/>
  <c r="N5" i="1" l="1"/>
  <c r="H21" i="18"/>
  <c r="B27" i="18"/>
  <c r="B28" i="18"/>
</calcChain>
</file>

<file path=xl/comments1.xml><?xml version="1.0" encoding="utf-8"?>
<comments xmlns="http://schemas.openxmlformats.org/spreadsheetml/2006/main">
  <authors>
    <author>Mynda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Mynda:</t>
        </r>
        <r>
          <rPr>
            <sz val="9"/>
            <color indexed="81"/>
            <rFont val="Tahoma"/>
            <family val="2"/>
          </rPr>
          <t xml:space="preserve">
10% was advised by Richard as the increase for 2011</t>
        </r>
      </text>
    </comment>
  </commentList>
</comments>
</file>

<file path=xl/sharedStrings.xml><?xml version="1.0" encoding="utf-8"?>
<sst xmlns="http://schemas.openxmlformats.org/spreadsheetml/2006/main" count="2431" uniqueCount="467">
  <si>
    <t>Hours</t>
  </si>
  <si>
    <t>Seconds</t>
  </si>
  <si>
    <t>Time x $</t>
  </si>
  <si>
    <t>Charge Out Rate</t>
  </si>
  <si>
    <t>Charge Out Amount</t>
  </si>
  <si>
    <t>Time (h:mm)</t>
  </si>
  <si>
    <t xml:space="preserve">Start Time </t>
  </si>
  <si>
    <t xml:space="preserve">Lunch Break </t>
  </si>
  <si>
    <t xml:space="preserve">Finish Time </t>
  </si>
  <si>
    <t>Time Worked</t>
  </si>
  <si>
    <t>Timesheet</t>
  </si>
  <si>
    <t>Monday</t>
  </si>
  <si>
    <t>Tuesday</t>
  </si>
  <si>
    <t>Wednesday</t>
  </si>
  <si>
    <t>Thursday</t>
  </si>
  <si>
    <t>Friday</t>
  </si>
  <si>
    <t>Total</t>
  </si>
  <si>
    <t>Merge Cells Across Selection</t>
  </si>
  <si>
    <t>Centre Across Selection</t>
  </si>
  <si>
    <t xml:space="preserve">Fill </t>
  </si>
  <si>
    <t>Force
Wrap
Text</t>
  </si>
  <si>
    <t>Force     Wrap       Text</t>
  </si>
  <si>
    <t>Actual text in cell</t>
  </si>
  <si>
    <t>How do you do it</t>
  </si>
  <si>
    <t>Result</t>
  </si>
  <si>
    <t>Why</t>
  </si>
  <si>
    <t>If you change the column width with this method you have to fiddle around with the spaces to get your text to wrap the way you want again.</t>
  </si>
  <si>
    <t>If you change the column width with this method the text remains wrapped as you wanted it.</t>
  </si>
  <si>
    <t>ü</t>
  </si>
  <si>
    <t>û</t>
  </si>
  <si>
    <r>
      <t>û</t>
    </r>
    <r>
      <rPr>
        <b/>
        <sz val="16"/>
        <color theme="0"/>
        <rFont val="Calibri"/>
        <family val="2"/>
        <scheme val="minor"/>
      </rPr>
      <t>/</t>
    </r>
    <r>
      <rPr>
        <b/>
        <sz val="16"/>
        <color theme="0"/>
        <rFont val="Wingdings"/>
        <charset val="2"/>
      </rPr>
      <t>ü</t>
    </r>
  </si>
  <si>
    <t>Add extra spaces between your words to force them onto the next line.</t>
  </si>
  <si>
    <t>Date</t>
  </si>
  <si>
    <t>Builder</t>
  </si>
  <si>
    <t>Units</t>
  </si>
  <si>
    <t>Doug</t>
  </si>
  <si>
    <t>Morgan</t>
  </si>
  <si>
    <t>Dave</t>
  </si>
  <si>
    <t>Gill</t>
  </si>
  <si>
    <t>Brian</t>
  </si>
  <si>
    <t>Larry</t>
  </si>
  <si>
    <t>Rob</t>
  </si>
  <si>
    <t>Jones</t>
  </si>
  <si>
    <t>Average $</t>
  </si>
  <si>
    <t>Total $</t>
  </si>
  <si>
    <t>Sales by Builder</t>
  </si>
  <si>
    <t>price</t>
  </si>
  <si>
    <t>volRemaining</t>
  </si>
  <si>
    <t>range</t>
  </si>
  <si>
    <t>orderID</t>
  </si>
  <si>
    <t>volEntered</t>
  </si>
  <si>
    <t>bid</t>
  </si>
  <si>
    <t>issued</t>
  </si>
  <si>
    <t>duration</t>
  </si>
  <si>
    <t>jumps</t>
  </si>
  <si>
    <t>Sell</t>
  </si>
  <si>
    <t>Buy</t>
  </si>
  <si>
    <t>Rens</t>
  </si>
  <si>
    <t>Eystur</t>
  </si>
  <si>
    <t>Auga</t>
  </si>
  <si>
    <t>Endrulf</t>
  </si>
  <si>
    <t>Abudban</t>
  </si>
  <si>
    <t>Magico</t>
  </si>
  <si>
    <t>Malukker</t>
  </si>
  <si>
    <t>Ammold</t>
  </si>
  <si>
    <t>Onga</t>
  </si>
  <si>
    <t>Illinfrik</t>
  </si>
  <si>
    <t>Frarn</t>
  </si>
  <si>
    <t>Pator</t>
  </si>
  <si>
    <t>Odatrik</t>
  </si>
  <si>
    <t>solarSystem</t>
  </si>
  <si>
    <t>VLOOKUP to the left using CHOOSE</t>
  </si>
  <si>
    <t>Formula</t>
  </si>
  <si>
    <t>i.e. Column E is the second column &amp; column K is the first column</t>
  </si>
  <si>
    <t>Volume</t>
  </si>
  <si>
    <t>Find the value in column E</t>
  </si>
  <si>
    <t>Lookup date: 29/01/2011 in column K</t>
  </si>
  <si>
    <r>
      <t>=VLOOKUP(DATE(2011,1,29),CHOOSE({</t>
    </r>
    <r>
      <rPr>
        <sz val="11"/>
        <color rgb="FF0070C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</t>
    </r>
    <r>
      <rPr>
        <sz val="11"/>
        <color theme="9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}</t>
    </r>
    <r>
      <rPr>
        <sz val="11"/>
        <color rgb="FF0070C0"/>
        <rFont val="Calibri"/>
        <family val="2"/>
        <scheme val="minor"/>
      </rPr>
      <t>,$K$2:$K$207</t>
    </r>
    <r>
      <rPr>
        <sz val="11"/>
        <color theme="9" tint="-0.249977111117893"/>
        <rFont val="Calibri"/>
        <family val="2"/>
        <scheme val="minor"/>
      </rPr>
      <t>,$E$2:$E$207</t>
    </r>
    <r>
      <rPr>
        <sz val="11"/>
        <color theme="1"/>
        <rFont val="Calibri"/>
        <family val="2"/>
        <scheme val="minor"/>
      </rPr>
      <t>),2,0)</t>
    </r>
  </si>
  <si>
    <t>Where {1,2} is telling Excel which is the first column and which is the second column</t>
  </si>
  <si>
    <t>Abudban Total</t>
  </si>
  <si>
    <t>Ammold Total</t>
  </si>
  <si>
    <t>Auga Total</t>
  </si>
  <si>
    <t>Endrulf Total</t>
  </si>
  <si>
    <t>Eystur Total</t>
  </si>
  <si>
    <t>Frarn Total</t>
  </si>
  <si>
    <t>Illinfrik Total</t>
  </si>
  <si>
    <t>Magico Total</t>
  </si>
  <si>
    <t>Malukker Total</t>
  </si>
  <si>
    <t>Odatrik Total</t>
  </si>
  <si>
    <t>Onga Total</t>
  </si>
  <si>
    <t>Pator Total</t>
  </si>
  <si>
    <t>Rens Total</t>
  </si>
  <si>
    <t>Grand Total</t>
  </si>
  <si>
    <t>Solar System</t>
  </si>
  <si>
    <t>Bid</t>
  </si>
  <si>
    <t>Duration</t>
  </si>
  <si>
    <t>Jumps</t>
  </si>
  <si>
    <t>Buy Count</t>
  </si>
  <si>
    <t>Sell Count</t>
  </si>
  <si>
    <t>Grand Count</t>
  </si>
  <si>
    <t>Tuesday, February 1, 2011</t>
  </si>
  <si>
    <t>Wednesday, February 2, 2011</t>
  </si>
  <si>
    <t>Thursday, February 3, 2011</t>
  </si>
  <si>
    <t>Friday, February 4, 2011</t>
  </si>
  <si>
    <t>Saturday, February 5, 2011</t>
  </si>
  <si>
    <t>Sunday, February 6, 2011</t>
  </si>
  <si>
    <t>Monday, February 7, 2011</t>
  </si>
  <si>
    <t>Tuesday, February 8, 2011</t>
  </si>
  <si>
    <t>Wednesday, February 9, 2011</t>
  </si>
  <si>
    <t>Thursday, February 10, 2011</t>
  </si>
  <si>
    <t>Friday, February 11, 2011</t>
  </si>
  <si>
    <t>Saturday, February 12, 2011</t>
  </si>
  <si>
    <t>Sunday, February 13, 2011</t>
  </si>
  <si>
    <t>Monday, February 14, 2011</t>
  </si>
  <si>
    <t>Tuesday, February 15, 2011</t>
  </si>
  <si>
    <t>Wednesday, February 16, 2011</t>
  </si>
  <si>
    <t>Thursday, February 17, 2011</t>
  </si>
  <si>
    <t>Friday, February 18, 2011</t>
  </si>
  <si>
    <t>Saturday, February 19, 2011</t>
  </si>
  <si>
    <t>Sunday, February 20, 2011</t>
  </si>
  <si>
    <t>Monday, February 21, 2011</t>
  </si>
  <si>
    <t>Tuesday, February 22, 2011</t>
  </si>
  <si>
    <t>Original</t>
  </si>
  <si>
    <t>Text to Columns</t>
  </si>
  <si>
    <t>February</t>
  </si>
  <si>
    <t>Area Code</t>
  </si>
  <si>
    <t>Phone Number</t>
  </si>
  <si>
    <t>07</t>
  </si>
  <si>
    <t>Concatenate</t>
  </si>
  <si>
    <t>Text with ampersand</t>
  </si>
  <si>
    <t>Concatenate with formatting</t>
  </si>
  <si>
    <t>Text with Ampersand</t>
  </si>
  <si>
    <t>Joined Text</t>
  </si>
  <si>
    <t>Formula Type</t>
  </si>
  <si>
    <t>Ampersand, LEFT and RIGHT</t>
  </si>
  <si>
    <t>First Name</t>
  </si>
  <si>
    <t>Surname</t>
  </si>
  <si>
    <t>Johnny</t>
  </si>
  <si>
    <t>Briant</t>
  </si>
  <si>
    <t>Weyland</t>
  </si>
  <si>
    <t>Roger</t>
  </si>
  <si>
    <t>First Name Source</t>
  </si>
  <si>
    <t>Surname Source</t>
  </si>
  <si>
    <t>Forumla in Column C</t>
  </si>
  <si>
    <t>Value</t>
  </si>
  <si>
    <t>T Function Result</t>
  </si>
  <si>
    <t>Abacus</t>
  </si>
  <si>
    <t>Trade Show</t>
  </si>
  <si>
    <t>ABC 123</t>
  </si>
  <si>
    <t>T Formula</t>
  </si>
  <si>
    <t>=T("397")</t>
  </si>
  <si>
    <t>T Function Uses</t>
  </si>
  <si>
    <t>=T(A2)</t>
  </si>
  <si>
    <t>=T(A3)</t>
  </si>
  <si>
    <t>=T(A4)</t>
  </si>
  <si>
    <t>=T(A5)</t>
  </si>
  <si>
    <t>=T(A6)</t>
  </si>
  <si>
    <t>Johnson</t>
  </si>
  <si>
    <t>=CONCATENATE(T(A16)," ",T(B16))</t>
  </si>
  <si>
    <t>=T(A17)</t>
  </si>
  <si>
    <t>Formula Result</t>
  </si>
  <si>
    <t>Simon</t>
  </si>
  <si>
    <t>Wilson</t>
  </si>
  <si>
    <r>
      <rPr>
        <sz val="12"/>
        <color rgb="FF00B050"/>
        <rFont val="Wingdings"/>
        <charset val="2"/>
      </rPr>
      <t>ü</t>
    </r>
    <r>
      <rPr>
        <sz val="12"/>
        <color rgb="FFFF0000"/>
        <rFont val="Wingdings"/>
        <charset val="2"/>
      </rPr>
      <t>û</t>
    </r>
  </si>
  <si>
    <t>=CONCATENATE(A12," ",B12)</t>
  </si>
  <si>
    <t>=A13&amp;" "&amp;B13</t>
  </si>
  <si>
    <t>=T(A14)&amp;" "&amp;T(B14)</t>
  </si>
  <si>
    <t>=CONCATENATE(A15," ",B15)</t>
  </si>
  <si>
    <t>=T(A18)</t>
  </si>
  <si>
    <t>=T(A8)</t>
  </si>
  <si>
    <t>Data</t>
  </si>
  <si>
    <t>=N(A2)</t>
  </si>
  <si>
    <t>Explanation</t>
  </si>
  <si>
    <t>Numeric values remain the same</t>
  </si>
  <si>
    <t>=N("50")</t>
  </si>
  <si>
    <t>=N(A4)</t>
  </si>
  <si>
    <t>Dates are converted to serial numbers</t>
  </si>
  <si>
    <t>Logical value FALSE returns a 0</t>
  </si>
  <si>
    <t>Logical value TRUE returns a 1</t>
  </si>
  <si>
    <t>=N(A5&gt;60)</t>
  </si>
  <si>
    <t>=N(A6&lt;60)</t>
  </si>
  <si>
    <t>=N(A7)</t>
  </si>
  <si>
    <t>Errors return the error value</t>
  </si>
  <si>
    <t>=N(A8)</t>
  </si>
  <si>
    <t>Anything else returns a 0</t>
  </si>
  <si>
    <t>=A14*(1+10%)+N("10% was advised by Richard as the increase for 2011")</t>
  </si>
  <si>
    <t xml:space="preserve">N Function Trick - embed annotations in your formulas </t>
  </si>
  <si>
    <t>Values in quotes "" are interpreted as a text string</t>
  </si>
  <si>
    <t>Units Sold</t>
  </si>
  <si>
    <t>LARGER</t>
  </si>
  <si>
    <t>May</t>
  </si>
  <si>
    <t>Chart for Camera Tool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</si>
  <si>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</si>
  <si>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</si>
  <si>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</si>
  <si>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</si>
  <si>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</si>
  <si>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</si>
  <si>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</si>
  <si>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</si>
  <si>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</si>
  <si>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</si>
  <si>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</si>
  <si>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Camera Image</t>
  </si>
  <si>
    <t>PV = Present Value</t>
  </si>
  <si>
    <t>R = Interest Rate</t>
  </si>
  <si>
    <t>N = number of investment periods</t>
  </si>
  <si>
    <t>Compounded monthly</t>
  </si>
  <si>
    <t>M = Number of compounding periods</t>
  </si>
  <si>
    <t>2 years</t>
  </si>
  <si>
    <t>Annual Rate</t>
  </si>
  <si>
    <t>Deposit Amount</t>
  </si>
  <si>
    <t>Value of investment in 2 years time</t>
  </si>
  <si>
    <r>
      <t>=PV*(1+R/M)^</t>
    </r>
    <r>
      <rPr>
        <b/>
        <vertAlign val="superscript"/>
        <sz val="14"/>
        <color theme="0"/>
        <rFont val="Calibri"/>
        <family val="2"/>
        <scheme val="minor"/>
      </rPr>
      <t>N</t>
    </r>
  </si>
  <si>
    <t>=FV(rate,N,[pmt],[pv],[type])</t>
  </si>
  <si>
    <t>N = the number of periods you will make payments</t>
  </si>
  <si>
    <t>pmt = the amount of the payment</t>
  </si>
  <si>
    <t>pv = the amount we will start with (note if you make a lump sum deposit it will be a negative number)</t>
  </si>
  <si>
    <t>type = when payments are deposited; 0 = end of each period, 1 = beginning of each period</t>
  </si>
  <si>
    <t>Rate = Interest Rate per compound period</t>
  </si>
  <si>
    <t>20 years</t>
  </si>
  <si>
    <t>Formula Syntax</t>
  </si>
  <si>
    <t>RAND</t>
  </si>
  <si>
    <t>RANDBETWEEN</t>
  </si>
  <si>
    <t>Math &amp; Trig - RAND and RANDBETWEEN</t>
  </si>
  <si>
    <t>Employee List</t>
  </si>
  <si>
    <t>Murray</t>
  </si>
  <si>
    <t>Jeff</t>
  </si>
  <si>
    <t>Anthony</t>
  </si>
  <si>
    <t>Dorothy</t>
  </si>
  <si>
    <t>Henry</t>
  </si>
  <si>
    <t>Sam</t>
  </si>
  <si>
    <t>Greg</t>
  </si>
  <si>
    <t>=CHOOSE(RANDBETWEEN(1,7),D4,D5,D6,D7,D8,D9,D10)</t>
  </si>
  <si>
    <t>Saturday Roster</t>
  </si>
  <si>
    <t>This text appears in the shape from cell A1</t>
  </si>
  <si>
    <t>Jane</t>
  </si>
  <si>
    <t>Julie</t>
  </si>
  <si>
    <t>Joan</t>
  </si>
  <si>
    <t>Janet</t>
  </si>
  <si>
    <t>Jill</t>
  </si>
  <si>
    <t>Judy</t>
  </si>
  <si>
    <t>Jenny</t>
  </si>
  <si>
    <t>Jacqui</t>
  </si>
  <si>
    <t>Water for Elephants</t>
  </si>
  <si>
    <t>The Thirteenth Tale</t>
  </si>
  <si>
    <t>Three Cups of Tea</t>
  </si>
  <si>
    <t>Memoirs of a Geisha</t>
  </si>
  <si>
    <t>Outliers</t>
  </si>
  <si>
    <t>The Wedding</t>
  </si>
  <si>
    <t>Easter Island</t>
  </si>
  <si>
    <t>Plainsong</t>
  </si>
  <si>
    <t>Hostile Witness</t>
  </si>
  <si>
    <t>Shutter Island</t>
  </si>
  <si>
    <t>Average</t>
  </si>
  <si>
    <t>Std Dev</t>
  </si>
  <si>
    <t>Jody</t>
  </si>
  <si>
    <t>SmartArt and Shapes</t>
  </si>
  <si>
    <t>Standard Deviation Functions - STDEV &amp; STDEVP</t>
  </si>
  <si>
    <t>Secret Life of Bees</t>
  </si>
  <si>
    <t>The Kite Runner</t>
  </si>
  <si>
    <t>MIN and MAX Functions</t>
  </si>
  <si>
    <t>Calculating Overtime</t>
  </si>
  <si>
    <t>Start</t>
  </si>
  <si>
    <t>Lunch Out</t>
  </si>
  <si>
    <t>Lunch In</t>
  </si>
  <si>
    <t>Finish</t>
  </si>
  <si>
    <t>Total Hours</t>
  </si>
  <si>
    <t>Overtime</t>
  </si>
  <si>
    <t>Normal Hours</t>
  </si>
  <si>
    <t>Mon</t>
  </si>
  <si>
    <t>Tue</t>
  </si>
  <si>
    <t>Wed</t>
  </si>
  <si>
    <t>Thu</t>
  </si>
  <si>
    <t>Fri</t>
  </si>
  <si>
    <t>Ordinary Hours</t>
  </si>
  <si>
    <t>Longest Day (MAX)</t>
  </si>
  <si>
    <t>Shortest Day (MIN)</t>
  </si>
  <si>
    <t>SMALL</t>
  </si>
  <si>
    <t>LARGE</t>
  </si>
  <si>
    <t>3rd smallest overtime hours</t>
  </si>
  <si>
    <t>2nd largest overtime hours</t>
  </si>
  <si>
    <t>Note: time is formatted to [h]:mm to ensure formulas calculate correctly.</t>
  </si>
  <si>
    <t>MIN</t>
  </si>
  <si>
    <t>MAX</t>
  </si>
  <si>
    <t>Values</t>
  </si>
  <si>
    <t>Second smallest</t>
  </si>
  <si>
    <t>Second largest</t>
  </si>
  <si>
    <t>=MAX(B22:F22)</t>
  </si>
  <si>
    <t>=MIN(B22:F22)</t>
  </si>
  <si>
    <t>=SMALL(B21:F21,3)</t>
  </si>
  <si>
    <t>=LARGE(B21:F21,2)</t>
  </si>
  <si>
    <t>=MIN(B3:F3)</t>
  </si>
  <si>
    <t>=MAX(B3:F3)</t>
  </si>
  <si>
    <t>=SMALL(B3:F3,2)</t>
  </si>
  <si>
    <t>=LARGE(B3:F3,2)</t>
  </si>
  <si>
    <t>CHOOSE Function</t>
  </si>
  <si>
    <t>Blue</t>
  </si>
  <si>
    <t>Green</t>
  </si>
  <si>
    <t>Orange</t>
  </si>
  <si>
    <t>Sales $</t>
  </si>
  <si>
    <t>Sales Units</t>
  </si>
  <si>
    <t>=CHOOSE(3,A3,A4,A5)</t>
  </si>
  <si>
    <t>=SUM(CHOOSE(1,C3:C10,D3:D10))</t>
  </si>
  <si>
    <t>=SUM(CHOOSE(2,C3:C10,D3:D10))</t>
  </si>
  <si>
    <t>Instead of IF or VLOOKUP</t>
  </si>
  <si>
    <t>A</t>
  </si>
  <si>
    <t>B</t>
  </si>
  <si>
    <t>C</t>
  </si>
  <si>
    <t>D</t>
  </si>
  <si>
    <t>E</t>
  </si>
  <si>
    <t>F</t>
  </si>
  <si>
    <t>Grade</t>
  </si>
  <si>
    <t>Student</t>
  </si>
  <si>
    <t>Megan</t>
  </si>
  <si>
    <t>Mary</t>
  </si>
  <si>
    <t>Maud</t>
  </si>
  <si>
    <t>Michelle</t>
  </si>
  <si>
    <t>Michaela</t>
  </si>
  <si>
    <t>Melanie</t>
  </si>
  <si>
    <t>GPA</t>
  </si>
  <si>
    <t>Reference Table</t>
  </si>
  <si>
    <t>Grades</t>
  </si>
  <si>
    <t>Use ALT+Enter after each word. Don't put any spaces between words that are wrapped.</t>
  </si>
  <si>
    <t>CEILING &amp; FLOOR Functions</t>
  </si>
  <si>
    <t>Discount</t>
  </si>
  <si>
    <t>Discounted Price</t>
  </si>
  <si>
    <t>Rounded Price</t>
  </si>
  <si>
    <t>Item</t>
  </si>
  <si>
    <t>Oranges</t>
  </si>
  <si>
    <t>Apples</t>
  </si>
  <si>
    <t>Grapes</t>
  </si>
  <si>
    <t>Mandarins</t>
  </si>
  <si>
    <t>Watermelon</t>
  </si>
  <si>
    <t>RRP / Kg</t>
  </si>
  <si>
    <t>FLOOR takes the value to the next multiple of $0.05 lower than the discounted price</t>
  </si>
  <si>
    <t>CEILING takes the value to the next multiple of $0.05 higher than the discounted price.</t>
  </si>
  <si>
    <t>CEILING - round price to nearest 5 cents above discounted price.</t>
  </si>
  <si>
    <t>FLOOR - round price to nearest 5 cents below discounted price</t>
  </si>
  <si>
    <t>FLOOR - if cents are less than 50 then round down to 47 cents, otherwise round up to 97 cents</t>
  </si>
  <si>
    <t>=FLOOR(D25,1) gets rid of the cents</t>
  </si>
  <si>
    <t>+IF(CEILING(D25,1)-(D25)&lt;0.5,0.97,0.47) works out if the cents are less than 50, and if they are then round down to 47 cents otherwise round up to 97 cents</t>
  </si>
  <si>
    <r>
      <t>=FLOOR(D25,1)</t>
    </r>
    <r>
      <rPr>
        <sz val="11"/>
        <color rgb="FF0070C0"/>
        <rFont val="Calibri"/>
        <family val="2"/>
        <scheme val="minor"/>
      </rPr>
      <t>+IF(CEILING(D25,1)-(D25)&lt;0.5,0.97,0.47)</t>
    </r>
  </si>
  <si>
    <t>These functions change the case of your text from upper to lower and vice versa.</t>
  </si>
  <si>
    <t>UPPER, LOWER and PROPER Functions</t>
  </si>
  <si>
    <t>UPPER</t>
  </si>
  <si>
    <t>LOWER</t>
  </si>
  <si>
    <t>PROPER</t>
  </si>
  <si>
    <t>John jones</t>
  </si>
  <si>
    <t>Mary moore</t>
  </si>
  <si>
    <t>fred Francis</t>
  </si>
  <si>
    <t>will wallace</t>
  </si>
  <si>
    <t>Craig connors</t>
  </si>
  <si>
    <t>andrew ALLEY</t>
  </si>
  <si>
    <t>DOUG davis</t>
  </si>
  <si>
    <t>TRIM Function</t>
  </si>
  <si>
    <t>In front</t>
  </si>
  <si>
    <t>At end</t>
  </si>
  <si>
    <t>In middle</t>
  </si>
  <si>
    <t xml:space="preserve">    spaces in front</t>
  </si>
  <si>
    <t xml:space="preserve">spaces at the end      </t>
  </si>
  <si>
    <t>spaces   in    the   middle</t>
  </si>
  <si>
    <t>Text examples</t>
  </si>
  <si>
    <t>Before TRIM</t>
  </si>
  <si>
    <t>After TRIM</t>
  </si>
  <si>
    <t>=TRIM(text)</t>
  </si>
  <si>
    <t>=TRIM(SUBSTITUTE(A13,CHAR(160),CHAR(32)))</t>
  </si>
  <si>
    <t>SUBSTITUTE and CLEAN to remove non-breaking spaces found in HTML</t>
  </si>
  <si>
    <t> non-breaking space</t>
  </si>
  <si>
    <t>Text with non-breaking space</t>
  </si>
  <si>
    <t>Formula in cell B13</t>
  </si>
  <si>
    <t>SUMPRODUCT Function Examples</t>
  </si>
  <si>
    <t>SUMPRODUCT instead of SUMIFS</t>
  </si>
  <si>
    <t>SUMPRODUCT instead of SUMIF</t>
  </si>
  <si>
    <t>SUMPRODUCT with AND as well as OR logic</t>
  </si>
  <si>
    <t>=SUMPRODUCT((Volume)*(solarSystem="Endrulf"))</t>
  </si>
  <si>
    <t>=SUMPRODUCT((Volume)*((solarSystem="Endrulf")*(jumps=6)))</t>
  </si>
  <si>
    <t>DateCol</t>
  </si>
  <si>
    <t>=SUMPRODUCT((Volume)*((solarSystem="Rens")+(solarSystem="Endrulf"))*(jumps=6))</t>
  </si>
  <si>
    <t>SUMPRODUCT Date Range = January</t>
  </si>
  <si>
    <t>SUMPRODUCT instead of COUNTIFS</t>
  </si>
  <si>
    <t>Cell reference for dates</t>
  </si>
  <si>
    <t>Serial number for dates</t>
  </si>
  <si>
    <t>Using text for dates</t>
  </si>
  <si>
    <t>SUMPRODUCT Price x Volume</t>
  </si>
  <si>
    <t>SUMPRODUCT to AVERAGE</t>
  </si>
  <si>
    <t>Array Formulas</t>
  </si>
  <si>
    <t>Employee</t>
  </si>
  <si>
    <t>Charlie</t>
  </si>
  <si>
    <t>Chad</t>
  </si>
  <si>
    <t>Connor</t>
  </si>
  <si>
    <t>Chris</t>
  </si>
  <si>
    <t>Callum</t>
  </si>
  <si>
    <t>Carl</t>
  </si>
  <si>
    <t>Craig</t>
  </si>
  <si>
    <t>June</t>
  </si>
  <si>
    <t>Days Worked Overtime</t>
  </si>
  <si>
    <t>Sales Person</t>
  </si>
  <si>
    <t>Region</t>
  </si>
  <si>
    <t>Sales</t>
  </si>
  <si>
    <t>John</t>
  </si>
  <si>
    <t>Jim</t>
  </si>
  <si>
    <t>James</t>
  </si>
  <si>
    <t>North</t>
  </si>
  <si>
    <t>South</t>
  </si>
  <si>
    <t>=SUMIFS(Sales,Sales_Person,"John",Region,"North")</t>
  </si>
  <si>
    <t>{=SUM((Sales)*((Sales_Person="John")+(Sales_Person="Jim"))*((Region="North")+(Region="South")))}</t>
  </si>
  <si>
    <t>SUMIFS are limited to AND criteria</t>
  </si>
  <si>
    <t>Arrays can use AND and OR criteria</t>
  </si>
  <si>
    <t>Sum sales if the salesperson is John AND the region is North</t>
  </si>
  <si>
    <t>Sum Sales if the salesperson is John OR Jim AND the region is North OR South</t>
  </si>
  <si>
    <t>Arrays - Behind the Scenes</t>
  </si>
  <si>
    <t>Array formula Basics</t>
  </si>
  <si>
    <t>COUNTIF Using an Array Formula</t>
  </si>
  <si>
    <t>Overtime &gt; 1hr</t>
  </si>
  <si>
    <t>Average Overtime</t>
  </si>
  <si>
    <t>Answer</t>
  </si>
  <si>
    <t>VLOOKUP with COLUMNS Function</t>
  </si>
  <si>
    <t>Price</t>
  </si>
  <si>
    <t>Book Title</t>
  </si>
  <si>
    <t>Author</t>
  </si>
  <si>
    <t>A Dance with Dragons</t>
  </si>
  <si>
    <t>The Hunger Games</t>
  </si>
  <si>
    <t>The Original Argument</t>
  </si>
  <si>
    <t>Heaven is for Real</t>
  </si>
  <si>
    <t>Unbroken</t>
  </si>
  <si>
    <t>Smokin' Seventeen</t>
  </si>
  <si>
    <t>In the Garden of Beasts</t>
  </si>
  <si>
    <t>Catching Fire</t>
  </si>
  <si>
    <t>A Game of Thrones</t>
  </si>
  <si>
    <t>George R.R.</t>
  </si>
  <si>
    <t>Adam Mansbach</t>
  </si>
  <si>
    <t>Suzanne Collins</t>
  </si>
  <si>
    <t>Glenn Beck</t>
  </si>
  <si>
    <t>Todd Burpo</t>
  </si>
  <si>
    <t>Laura Hillenbrand</t>
  </si>
  <si>
    <t>Janet Evanovich</t>
  </si>
  <si>
    <t>Erik Larson</t>
  </si>
  <si>
    <t>COLUMNS Function</t>
  </si>
  <si>
    <t>Returns the number of columns in an array</t>
  </si>
  <si>
    <t>Number</t>
  </si>
  <si>
    <t>ROWS Function</t>
  </si>
  <si>
    <t>Returns the number of rows in an array</t>
  </si>
  <si>
    <t>Go to Sleep</t>
  </si>
  <si>
    <t>Time Calculations</t>
  </si>
  <si>
    <t>Cell Formatting</t>
  </si>
  <si>
    <t>Conditional Formatting</t>
  </si>
  <si>
    <t>Filters</t>
  </si>
  <si>
    <t>CHOOSE with VLOOKUP</t>
  </si>
  <si>
    <t>Insert a Subtotal</t>
  </si>
  <si>
    <t>Group &amp; Outline</t>
  </si>
  <si>
    <t>CONCATENATE</t>
  </si>
  <si>
    <t>T Function</t>
  </si>
  <si>
    <t>N Function</t>
  </si>
  <si>
    <t>Camera Tool</t>
  </si>
  <si>
    <t>Compound Interest</t>
  </si>
  <si>
    <t>RAND &amp; RANDBETWEEN</t>
  </si>
  <si>
    <t>Shapes &amp; Smart Art</t>
  </si>
  <si>
    <t>STDEV</t>
  </si>
  <si>
    <t>MIN &amp; MAX</t>
  </si>
  <si>
    <t>CHOOSE</t>
  </si>
  <si>
    <t>CEILING &amp; FLOOR</t>
  </si>
  <si>
    <t>UPPER &amp; LOWER</t>
  </si>
  <si>
    <t>TRIM</t>
  </si>
  <si>
    <t>SUMPRODUCT</t>
  </si>
  <si>
    <t>VLOOKUP COLUMNS</t>
  </si>
  <si>
    <t>Excel Tutorials from the Blog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</si>
</sst>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h]:mm"/>
    <numFmt numFmtId="165" formatCode="[ss]"/>
    <numFmt numFmtId="166" formatCode="h:mm\ &quot;h:mm&quot;"/>
    <numFmt numFmtId="167" formatCode="[h]:mm\ &quot;h:mm&quot;"/>
    <numFmt numFmtId="168" formatCode="dd\ mmm\ yy"/>
    <numFmt numFmtId="169" formatCode="_-* #,##0_-;\-* #,##0_-;_-* &quot;-&quot;??_-;_-@_-"/>
    <numFmt numFmtId="170" formatCode="d/mm/yyyy;@"/>
    <numFmt numFmtId="171" formatCode="&quot;$&quot;#,##0.00"/>
    <numFmt numFmtId="172" formatCode="0.0%"/>
    <numFmt numFmtId="173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color rgb="FF00B050"/>
      <name val="Wingdings"/>
      <charset val="2"/>
    </font>
    <font>
      <sz val="48"/>
      <color rgb="FFFF0000"/>
      <name val="Wingdings"/>
      <charset val="2"/>
    </font>
    <font>
      <b/>
      <sz val="16"/>
      <color theme="0"/>
      <name val="Wingdings"/>
      <charset val="2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Wingdings"/>
      <charset val="2"/>
    </font>
    <font>
      <sz val="12"/>
      <color rgb="FFFF0000"/>
      <name val="Wingdings"/>
      <charset val="2"/>
    </font>
    <font>
      <sz val="12"/>
      <color rgb="FF00B050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QuickType II Mono"/>
      <family val="3"/>
    </font>
    <font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7030A0"/>
        <bgColor theme="7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 tint="-0.249977111117893"/>
        <bgColor theme="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0" fillId="0" borderId="0"/>
    <xf numFmtId="0" fontId="1" fillId="0" borderId="0"/>
    <xf numFmtId="9" fontId="11" fillId="0" borderId="0" applyFont="0" applyFill="0" applyBorder="0" applyAlignment="0" applyProtection="0"/>
  </cellStyleXfs>
  <cellXfs count="268">
    <xf numFmtId="0" fontId="0" fillId="0" borderId="0" xfId="0"/>
    <xf numFmtId="20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0" fillId="3" borderId="3" xfId="0" applyNumberFormat="1" applyFont="1" applyFill="1" applyBorder="1"/>
    <xf numFmtId="21" fontId="0" fillId="3" borderId="4" xfId="0" applyNumberFormat="1" applyFont="1" applyFill="1" applyBorder="1"/>
    <xf numFmtId="20" fontId="0" fillId="4" borderId="3" xfId="0" applyNumberFormat="1" applyFont="1" applyFill="1" applyBorder="1"/>
    <xf numFmtId="21" fontId="0" fillId="4" borderId="4" xfId="0" applyNumberFormat="1" applyFont="1" applyFill="1" applyBorder="1"/>
    <xf numFmtId="20" fontId="0" fillId="4" borderId="5" xfId="0" applyNumberFormat="1" applyFont="1" applyFill="1" applyBorder="1"/>
    <xf numFmtId="21" fontId="0" fillId="4" borderId="0" xfId="0" applyNumberFormat="1" applyFont="1" applyFill="1" applyBorder="1"/>
    <xf numFmtId="164" fontId="2" fillId="2" borderId="6" xfId="0" applyNumberFormat="1" applyFont="1" applyFill="1" applyBorder="1"/>
    <xf numFmtId="165" fontId="2" fillId="2" borderId="6" xfId="0" applyNumberFormat="1" applyFont="1" applyFill="1" applyBorder="1"/>
    <xf numFmtId="44" fontId="0" fillId="4" borderId="4" xfId="1" applyFont="1" applyFill="1" applyBorder="1"/>
    <xf numFmtId="44" fontId="0" fillId="3" borderId="4" xfId="1" applyFont="1" applyFill="1" applyBorder="1"/>
    <xf numFmtId="20" fontId="0" fillId="3" borderId="4" xfId="0" applyNumberFormat="1" applyFont="1" applyFill="1" applyBorder="1" applyAlignment="1">
      <alignment horizontal="center"/>
    </xf>
    <xf numFmtId="21" fontId="0" fillId="3" borderId="4" xfId="0" applyNumberFormat="1" applyFill="1" applyBorder="1"/>
    <xf numFmtId="166" fontId="0" fillId="4" borderId="4" xfId="1" applyNumberFormat="1" applyFont="1" applyFill="1" applyBorder="1" applyAlignment="1">
      <alignment horizontal="left"/>
    </xf>
    <xf numFmtId="18" fontId="0" fillId="3" borderId="4" xfId="0" applyNumberFormat="1" applyFont="1" applyFill="1" applyBorder="1" applyAlignment="1">
      <alignment horizontal="left"/>
    </xf>
    <xf numFmtId="18" fontId="0" fillId="3" borderId="4" xfId="1" applyNumberFormat="1" applyFont="1" applyFill="1" applyBorder="1" applyAlignment="1">
      <alignment horizontal="left"/>
    </xf>
    <xf numFmtId="167" fontId="0" fillId="4" borderId="4" xfId="1" applyNumberFormat="1" applyFont="1" applyFill="1" applyBorder="1" applyAlignment="1">
      <alignment horizontal="left"/>
    </xf>
    <xf numFmtId="0" fontId="2" fillId="2" borderId="2" xfId="0" applyFont="1" applyFill="1" applyBorder="1" applyAlignment="1"/>
    <xf numFmtId="18" fontId="0" fillId="3" borderId="4" xfId="0" applyNumberFormat="1" applyFill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Border="1" applyAlignment="1">
      <alignment horizontal="centerContinuous" vertical="center"/>
    </xf>
    <xf numFmtId="0" fontId="2" fillId="5" borderId="0" xfId="0" applyFont="1" applyFill="1" applyBorder="1" applyAlignment="1">
      <alignment horizontal="fill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9" fontId="0" fillId="0" borderId="0" xfId="2" applyNumberFormat="1" applyFont="1"/>
    <xf numFmtId="168" fontId="7" fillId="0" borderId="10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8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3" fontId="8" fillId="0" borderId="0" xfId="0" applyNumberFormat="1" applyFont="1" applyAlignment="1">
      <alignment horizontal="centerContinuous" vertical="center"/>
    </xf>
    <xf numFmtId="47" fontId="0" fillId="0" borderId="0" xfId="0" applyNumberFormat="1"/>
    <xf numFmtId="43" fontId="0" fillId="0" borderId="0" xfId="2" applyFont="1"/>
    <xf numFmtId="14" fontId="0" fillId="0" borderId="0" xfId="0" applyNumberFormat="1"/>
    <xf numFmtId="43" fontId="0" fillId="8" borderId="3" xfId="2" applyNumberFormat="1" applyFont="1" applyFill="1" applyBorder="1"/>
    <xf numFmtId="0" fontId="0" fillId="8" borderId="3" xfId="0" applyFont="1" applyFill="1" applyBorder="1"/>
    <xf numFmtId="47" fontId="0" fillId="8" borderId="3" xfId="0" applyNumberFormat="1" applyFont="1" applyFill="1" applyBorder="1"/>
    <xf numFmtId="14" fontId="0" fillId="8" borderId="4" xfId="0" applyNumberFormat="1" applyFont="1" applyFill="1" applyBorder="1"/>
    <xf numFmtId="43" fontId="0" fillId="9" borderId="3" xfId="2" applyNumberFormat="1" applyFont="1" applyFill="1" applyBorder="1"/>
    <xf numFmtId="0" fontId="0" fillId="9" borderId="3" xfId="0" applyFont="1" applyFill="1" applyBorder="1"/>
    <xf numFmtId="47" fontId="0" fillId="9" borderId="3" xfId="0" applyNumberFormat="1" applyFont="1" applyFill="1" applyBorder="1"/>
    <xf numFmtId="14" fontId="0" fillId="9" borderId="4" xfId="0" applyNumberFormat="1" applyFont="1" applyFill="1" applyBorder="1"/>
    <xf numFmtId="43" fontId="0" fillId="9" borderId="5" xfId="2" applyNumberFormat="1" applyFont="1" applyFill="1" applyBorder="1"/>
    <xf numFmtId="0" fontId="0" fillId="9" borderId="5" xfId="0" applyFont="1" applyFill="1" applyBorder="1"/>
    <xf numFmtId="47" fontId="0" fillId="9" borderId="5" xfId="0" applyNumberFormat="1" applyFont="1" applyFill="1" applyBorder="1"/>
    <xf numFmtId="14" fontId="0" fillId="9" borderId="0" xfId="0" applyNumberFormat="1" applyFont="1" applyFill="1"/>
    <xf numFmtId="0" fontId="0" fillId="0" borderId="0" xfId="0" quotePrefix="1"/>
    <xf numFmtId="0" fontId="2" fillId="7" borderId="1" xfId="0" applyFont="1" applyFill="1" applyBorder="1" applyAlignment="1">
      <alignment horizontal="center"/>
    </xf>
    <xf numFmtId="43" fontId="2" fillId="7" borderId="1" xfId="2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9" fontId="2" fillId="7" borderId="1" xfId="2" applyNumberFormat="1" applyFont="1" applyFill="1" applyBorder="1" applyAlignment="1">
      <alignment horizontal="center"/>
    </xf>
    <xf numFmtId="169" fontId="0" fillId="8" borderId="3" xfId="2" applyNumberFormat="1" applyFont="1" applyFill="1" applyBorder="1"/>
    <xf numFmtId="169" fontId="0" fillId="9" borderId="3" xfId="2" applyNumberFormat="1" applyFont="1" applyFill="1" applyBorder="1"/>
    <xf numFmtId="169" fontId="0" fillId="9" borderId="5" xfId="2" applyNumberFormat="1" applyFont="1" applyFill="1" applyBorder="1"/>
    <xf numFmtId="0" fontId="2" fillId="7" borderId="11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0" fillId="8" borderId="4" xfId="0" applyFont="1" applyFill="1" applyBorder="1" applyAlignment="1">
      <alignment horizontal="right"/>
    </xf>
    <xf numFmtId="0" fontId="0" fillId="9" borderId="3" xfId="0" applyFont="1" applyFill="1" applyBorder="1" applyAlignment="1">
      <alignment horizontal="right"/>
    </xf>
    <xf numFmtId="0" fontId="0" fillId="9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8" borderId="3" xfId="0" applyNumberFormat="1" applyFont="1" applyFill="1" applyBorder="1"/>
    <xf numFmtId="0" fontId="7" fillId="8" borderId="3" xfId="0" applyFont="1" applyFill="1" applyBorder="1"/>
    <xf numFmtId="0" fontId="7" fillId="9" borderId="3" xfId="0" applyFont="1" applyFill="1" applyBorder="1"/>
    <xf numFmtId="0" fontId="0" fillId="9" borderId="0" xfId="0" applyFont="1" applyFill="1" applyBorder="1"/>
    <xf numFmtId="0" fontId="0" fillId="9" borderId="0" xfId="0" applyFont="1" applyFill="1" applyBorder="1" applyAlignment="1">
      <alignment horizontal="right"/>
    </xf>
    <xf numFmtId="0" fontId="7" fillId="9" borderId="0" xfId="0" applyFont="1" applyFill="1" applyBorder="1"/>
    <xf numFmtId="0" fontId="0" fillId="8" borderId="3" xfId="0" applyFill="1" applyBorder="1"/>
    <xf numFmtId="0" fontId="7" fillId="9" borderId="3" xfId="0" applyNumberFormat="1" applyFont="1" applyFill="1" applyBorder="1"/>
    <xf numFmtId="170" fontId="11" fillId="0" borderId="0" xfId="3" applyNumberFormat="1"/>
    <xf numFmtId="170" fontId="12" fillId="0" borderId="0" xfId="3" applyNumberFormat="1" applyFont="1"/>
    <xf numFmtId="0" fontId="11" fillId="0" borderId="0" xfId="3" applyNumberForma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0" fillId="3" borderId="3" xfId="0" quotePrefix="1" applyFont="1" applyFill="1" applyBorder="1"/>
    <xf numFmtId="0" fontId="0" fillId="3" borderId="4" xfId="0" applyFont="1" applyFill="1" applyBorder="1" applyAlignment="1">
      <alignment horizontal="left"/>
    </xf>
    <xf numFmtId="0" fontId="0" fillId="4" borderId="3" xfId="0" quotePrefix="1" applyFont="1" applyFill="1" applyBorder="1"/>
    <xf numFmtId="0" fontId="0" fillId="4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ont="1" applyFill="1" applyBorder="1"/>
    <xf numFmtId="0" fontId="0" fillId="4" borderId="3" xfId="0" applyFont="1" applyFill="1" applyBorder="1"/>
    <xf numFmtId="0" fontId="0" fillId="4" borderId="5" xfId="0" applyFont="1" applyFill="1" applyBorder="1"/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/>
    </xf>
    <xf numFmtId="0" fontId="0" fillId="4" borderId="5" xfId="0" quotePrefix="1" applyFont="1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0" fontId="0" fillId="4" borderId="3" xfId="0" quotePrefix="1" applyFill="1" applyBorder="1" applyAlignment="1">
      <alignment horizontal="center"/>
    </xf>
    <xf numFmtId="0" fontId="13" fillId="10" borderId="1" xfId="0" applyFont="1" applyFill="1" applyBorder="1" applyAlignment="1">
      <alignment horizontal="centerContinuous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3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Continuous"/>
    </xf>
    <xf numFmtId="0" fontId="7" fillId="0" borderId="0" xfId="0" applyFont="1"/>
    <xf numFmtId="0" fontId="0" fillId="0" borderId="0" xfId="0" applyAlignment="1">
      <alignment wrapText="1"/>
    </xf>
    <xf numFmtId="17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Continuous"/>
    </xf>
    <xf numFmtId="0" fontId="19" fillId="0" borderId="0" xfId="0" applyFont="1"/>
    <xf numFmtId="10" fontId="0" fillId="0" borderId="0" xfId="0" applyNumberFormat="1"/>
    <xf numFmtId="9" fontId="0" fillId="0" borderId="0" xfId="0" applyNumberFormat="1"/>
    <xf numFmtId="44" fontId="0" fillId="0" borderId="0" xfId="1" applyFont="1"/>
    <xf numFmtId="8" fontId="0" fillId="0" borderId="0" xfId="0" applyNumberFormat="1"/>
    <xf numFmtId="0" fontId="13" fillId="11" borderId="0" xfId="0" applyFont="1" applyFill="1" applyAlignment="1">
      <alignment horizontal="center" vertical="center"/>
    </xf>
    <xf numFmtId="0" fontId="13" fillId="11" borderId="0" xfId="0" quotePrefix="1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7" fillId="0" borderId="10" xfId="0" applyFont="1" applyBorder="1" applyAlignment="1">
      <alignment horizontal="right"/>
    </xf>
    <xf numFmtId="0" fontId="21" fillId="0" borderId="0" xfId="4" applyAlignment="1" applyProtection="1"/>
    <xf numFmtId="0" fontId="2" fillId="12" borderId="1" xfId="0" applyFont="1" applyFill="1" applyBorder="1" applyAlignment="1">
      <alignment horizontal="center" vertical="center" wrapText="1"/>
    </xf>
    <xf numFmtId="0" fontId="0" fillId="14" borderId="3" xfId="0" applyFont="1" applyFill="1" applyBorder="1"/>
    <xf numFmtId="0" fontId="0" fillId="14" borderId="3" xfId="0" applyFont="1" applyFill="1" applyBorder="1" applyAlignment="1">
      <alignment horizontal="center"/>
    </xf>
    <xf numFmtId="0" fontId="0" fillId="13" borderId="3" xfId="0" applyFont="1" applyFill="1" applyBorder="1"/>
    <xf numFmtId="0" fontId="0" fillId="13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13" borderId="3" xfId="0" applyFill="1" applyBorder="1"/>
    <xf numFmtId="4" fontId="0" fillId="13" borderId="3" xfId="0" applyNumberFormat="1" applyFont="1" applyFill="1" applyBorder="1" applyAlignment="1">
      <alignment horizontal="center"/>
    </xf>
    <xf numFmtId="4" fontId="0" fillId="14" borderId="3" xfId="0" applyNumberFormat="1" applyFont="1" applyFill="1" applyBorder="1" applyAlignment="1">
      <alignment horizontal="center"/>
    </xf>
    <xf numFmtId="0" fontId="8" fillId="0" borderId="0" xfId="0" applyFont="1"/>
    <xf numFmtId="0" fontId="7" fillId="13" borderId="3" xfId="0" applyFont="1" applyFill="1" applyBorder="1"/>
    <xf numFmtId="1" fontId="7" fillId="13" borderId="3" xfId="0" applyNumberFormat="1" applyFont="1" applyFill="1" applyBorder="1" applyAlignment="1">
      <alignment horizontal="center"/>
    </xf>
    <xf numFmtId="164" fontId="0" fillId="0" borderId="0" xfId="0" applyNumberFormat="1"/>
    <xf numFmtId="0" fontId="22" fillId="0" borderId="0" xfId="0" applyFont="1"/>
    <xf numFmtId="20" fontId="22" fillId="0" borderId="0" xfId="0" applyNumberFormat="1" applyFont="1"/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0" xfId="0" applyBorder="1"/>
    <xf numFmtId="164" fontId="0" fillId="0" borderId="10" xfId="0" applyNumberFormat="1" applyBorder="1"/>
    <xf numFmtId="0" fontId="0" fillId="0" borderId="0" xfId="0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0" xfId="0" applyFill="1" applyAlignment="1">
      <alignment horizontal="center"/>
    </xf>
    <xf numFmtId="171" fontId="0" fillId="0" borderId="0" xfId="1" applyNumberFormat="1" applyFont="1" applyAlignment="1">
      <alignment horizontal="center"/>
    </xf>
    <xf numFmtId="0" fontId="7" fillId="17" borderId="10" xfId="0" applyFont="1" applyFill="1" applyBorder="1"/>
    <xf numFmtId="0" fontId="7" fillId="1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171" fontId="0" fillId="8" borderId="3" xfId="1" applyNumberFormat="1" applyFont="1" applyFill="1" applyBorder="1" applyAlignment="1">
      <alignment horizontal="center"/>
    </xf>
    <xf numFmtId="0" fontId="0" fillId="8" borderId="4" xfId="1" applyNumberFormat="1" applyFont="1" applyFill="1" applyBorder="1" applyAlignment="1">
      <alignment horizontal="center"/>
    </xf>
    <xf numFmtId="171" fontId="0" fillId="9" borderId="3" xfId="1" applyNumberFormat="1" applyFont="1" applyFill="1" applyBorder="1" applyAlignment="1">
      <alignment horizontal="center"/>
    </xf>
    <xf numFmtId="0" fontId="0" fillId="9" borderId="4" xfId="1" applyNumberFormat="1" applyFont="1" applyFill="1" applyBorder="1" applyAlignment="1">
      <alignment horizontal="center"/>
    </xf>
    <xf numFmtId="171" fontId="0" fillId="9" borderId="5" xfId="1" applyNumberFormat="1" applyFont="1" applyFill="1" applyBorder="1" applyAlignment="1">
      <alignment horizontal="center"/>
    </xf>
    <xf numFmtId="0" fontId="0" fillId="9" borderId="0" xfId="1" applyNumberFormat="1" applyFont="1" applyFill="1" applyAlignment="1">
      <alignment horizontal="center"/>
    </xf>
    <xf numFmtId="2" fontId="0" fillId="0" borderId="0" xfId="0" applyNumberFormat="1"/>
    <xf numFmtId="171" fontId="0" fillId="0" borderId="0" xfId="0" applyNumberFormat="1"/>
    <xf numFmtId="0" fontId="2" fillId="18" borderId="11" xfId="0" applyFont="1" applyFill="1" applyBorder="1" applyAlignment="1">
      <alignment horizontal="center" wrapText="1"/>
    </xf>
    <xf numFmtId="0" fontId="2" fillId="18" borderId="10" xfId="0" applyFont="1" applyFill="1" applyBorder="1" applyAlignment="1">
      <alignment horizontal="center" wrapText="1"/>
    </xf>
    <xf numFmtId="0" fontId="0" fillId="19" borderId="3" xfId="0" applyFont="1" applyFill="1" applyBorder="1"/>
    <xf numFmtId="171" fontId="0" fillId="19" borderId="3" xfId="0" applyNumberFormat="1" applyFont="1" applyFill="1" applyBorder="1" applyAlignment="1">
      <alignment horizontal="center"/>
    </xf>
    <xf numFmtId="172" fontId="0" fillId="19" borderId="3" xfId="5" applyNumberFormat="1" applyFont="1" applyFill="1" applyBorder="1" applyAlignment="1">
      <alignment horizontal="center"/>
    </xf>
    <xf numFmtId="171" fontId="0" fillId="19" borderId="4" xfId="0" applyNumberFormat="1" applyFont="1" applyFill="1" applyBorder="1" applyAlignment="1">
      <alignment horizontal="center"/>
    </xf>
    <xf numFmtId="0" fontId="0" fillId="20" borderId="3" xfId="0" applyFont="1" applyFill="1" applyBorder="1"/>
    <xf numFmtId="171" fontId="0" fillId="20" borderId="3" xfId="0" applyNumberFormat="1" applyFont="1" applyFill="1" applyBorder="1" applyAlignment="1">
      <alignment horizontal="center"/>
    </xf>
    <xf numFmtId="172" fontId="0" fillId="20" borderId="3" xfId="5" applyNumberFormat="1" applyFont="1" applyFill="1" applyBorder="1" applyAlignment="1">
      <alignment horizontal="center"/>
    </xf>
    <xf numFmtId="171" fontId="0" fillId="20" borderId="4" xfId="0" applyNumberFormat="1" applyFont="1" applyFill="1" applyBorder="1" applyAlignment="1">
      <alignment horizontal="center"/>
    </xf>
    <xf numFmtId="0" fontId="0" fillId="19" borderId="5" xfId="0" applyFont="1" applyFill="1" applyBorder="1"/>
    <xf numFmtId="171" fontId="0" fillId="19" borderId="5" xfId="0" applyNumberFormat="1" applyFont="1" applyFill="1" applyBorder="1" applyAlignment="1">
      <alignment horizontal="center"/>
    </xf>
    <xf numFmtId="172" fontId="0" fillId="19" borderId="5" xfId="5" applyNumberFormat="1" applyFont="1" applyFill="1" applyBorder="1" applyAlignment="1">
      <alignment horizontal="center"/>
    </xf>
    <xf numFmtId="171" fontId="0" fillId="19" borderId="0" xfId="0" applyNumberFormat="1" applyFont="1" applyFill="1" applyAlignment="1">
      <alignment horizontal="center"/>
    </xf>
    <xf numFmtId="0" fontId="2" fillId="18" borderId="11" xfId="0" applyFont="1" applyFill="1" applyBorder="1" applyAlignment="1">
      <alignment horizontal="centerContinuous" wrapText="1"/>
    </xf>
    <xf numFmtId="0" fontId="13" fillId="18" borderId="11" xfId="0" applyFont="1" applyFill="1" applyBorder="1" applyAlignment="1">
      <alignment horizontal="centerContinuous" vertical="center" wrapText="1"/>
    </xf>
    <xf numFmtId="0" fontId="0" fillId="0" borderId="0" xfId="1" applyNumberFormat="1" applyFont="1"/>
    <xf numFmtId="0" fontId="9" fillId="0" borderId="0" xfId="0" quotePrefix="1" applyFont="1"/>
    <xf numFmtId="0" fontId="2" fillId="18" borderId="11" xfId="0" applyNumberFormat="1" applyFont="1" applyFill="1" applyBorder="1"/>
    <xf numFmtId="0" fontId="2" fillId="18" borderId="11" xfId="0" applyFont="1" applyFill="1" applyBorder="1"/>
    <xf numFmtId="0" fontId="2" fillId="18" borderId="10" xfId="0" applyFont="1" applyFill="1" applyBorder="1"/>
    <xf numFmtId="0" fontId="0" fillId="19" borderId="4" xfId="0" applyFont="1" applyFill="1" applyBorder="1"/>
    <xf numFmtId="0" fontId="0" fillId="20" borderId="4" xfId="0" applyFont="1" applyFill="1" applyBorder="1"/>
    <xf numFmtId="0" fontId="0" fillId="19" borderId="0" xfId="0" applyFont="1" applyFill="1"/>
    <xf numFmtId="0" fontId="23" fillId="0" borderId="0" xfId="0" applyFont="1"/>
    <xf numFmtId="43" fontId="2" fillId="7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169" fontId="2" fillId="7" borderId="1" xfId="2" applyNumberFormat="1" applyFont="1" applyFill="1" applyBorder="1" applyAlignment="1">
      <alignment horizontal="left"/>
    </xf>
    <xf numFmtId="0" fontId="24" fillId="0" borderId="0" xfId="0" applyFont="1"/>
    <xf numFmtId="14" fontId="2" fillId="7" borderId="2" xfId="0" applyNumberFormat="1" applyFont="1" applyFill="1" applyBorder="1" applyAlignment="1">
      <alignment horizontal="left"/>
    </xf>
    <xf numFmtId="14" fontId="0" fillId="9" borderId="0" xfId="0" applyNumberFormat="1" applyFont="1" applyFill="1" applyBorder="1"/>
    <xf numFmtId="169" fontId="0" fillId="0" borderId="0" xfId="0" applyNumberFormat="1"/>
    <xf numFmtId="14" fontId="7" fillId="0" borderId="0" xfId="0" applyNumberFormat="1" applyFont="1"/>
    <xf numFmtId="43" fontId="0" fillId="0" borderId="0" xfId="0" applyNumberFormat="1"/>
    <xf numFmtId="169" fontId="21" fillId="0" borderId="0" xfId="4" applyNumberFormat="1" applyAlignment="1" applyProtection="1"/>
    <xf numFmtId="14" fontId="0" fillId="19" borderId="3" xfId="0" applyNumberFormat="1" applyFont="1" applyFill="1" applyBorder="1"/>
    <xf numFmtId="14" fontId="0" fillId="20" borderId="3" xfId="0" applyNumberFormat="1" applyFont="1" applyFill="1" applyBorder="1"/>
    <xf numFmtId="14" fontId="0" fillId="19" borderId="5" xfId="0" applyNumberFormat="1" applyFont="1" applyFill="1" applyBorder="1"/>
    <xf numFmtId="0" fontId="2" fillId="18" borderId="1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17" fontId="2" fillId="18" borderId="0" xfId="0" applyNumberFormat="1" applyFont="1" applyFill="1" applyBorder="1" applyAlignment="1">
      <alignment horizontal="center"/>
    </xf>
    <xf numFmtId="0" fontId="0" fillId="3" borderId="4" xfId="0" applyFont="1" applyFill="1" applyBorder="1"/>
    <xf numFmtId="0" fontId="0" fillId="4" borderId="4" xfId="0" applyFont="1" applyFill="1" applyBorder="1"/>
    <xf numFmtId="0" fontId="0" fillId="4" borderId="0" xfId="0" applyFont="1" applyFill="1"/>
    <xf numFmtId="0" fontId="0" fillId="4" borderId="3" xfId="0" applyFill="1" applyBorder="1"/>
    <xf numFmtId="0" fontId="25" fillId="0" borderId="0" xfId="0" applyFont="1"/>
    <xf numFmtId="14" fontId="0" fillId="0" borderId="12" xfId="0" applyNumberFormat="1" applyBorder="1"/>
    <xf numFmtId="0" fontId="0" fillId="0" borderId="12" xfId="0" applyNumberFormat="1" applyBorder="1"/>
    <xf numFmtId="0" fontId="0" fillId="4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0" borderId="0" xfId="0" applyFont="1"/>
    <xf numFmtId="43" fontId="0" fillId="0" borderId="12" xfId="2" applyFont="1" applyBorder="1"/>
    <xf numFmtId="0" fontId="0" fillId="15" borderId="0" xfId="0" applyFill="1"/>
    <xf numFmtId="0" fontId="0" fillId="21" borderId="0" xfId="0" applyFill="1"/>
    <xf numFmtId="0" fontId="26" fillId="21" borderId="0" xfId="0" quotePrefix="1" applyFont="1" applyFill="1"/>
    <xf numFmtId="14" fontId="0" fillId="0" borderId="0" xfId="0" applyNumberFormat="1" applyBorder="1"/>
    <xf numFmtId="0" fontId="0" fillId="0" borderId="0" xfId="0" applyNumberFormat="1" applyBorder="1"/>
    <xf numFmtId="0" fontId="0" fillId="22" borderId="0" xfId="0" applyFill="1"/>
    <xf numFmtId="0" fontId="2" fillId="18" borderId="2" xfId="0" applyFont="1" applyFill="1" applyBorder="1"/>
    <xf numFmtId="0" fontId="0" fillId="19" borderId="3" xfId="0" applyFont="1" applyFill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20" borderId="5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left" indent="1"/>
    </xf>
    <xf numFmtId="0" fontId="0" fillId="19" borderId="3" xfId="0" applyFont="1" applyFill="1" applyBorder="1" applyAlignment="1">
      <alignment horizontal="left" indent="1"/>
    </xf>
    <xf numFmtId="0" fontId="0" fillId="20" borderId="3" xfId="0" applyFont="1" applyFill="1" applyBorder="1" applyAlignment="1">
      <alignment horizontal="left" indent="1"/>
    </xf>
    <xf numFmtId="0" fontId="0" fillId="20" borderId="5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171" fontId="0" fillId="19" borderId="4" xfId="1" applyNumberFormat="1" applyFont="1" applyFill="1" applyBorder="1"/>
    <xf numFmtId="171" fontId="0" fillId="20" borderId="4" xfId="1" applyNumberFormat="1" applyFont="1" applyFill="1" applyBorder="1"/>
    <xf numFmtId="171" fontId="0" fillId="20" borderId="0" xfId="1" applyNumberFormat="1" applyFont="1" applyFill="1"/>
    <xf numFmtId="0" fontId="0" fillId="20" borderId="3" xfId="0" applyFill="1" applyBorder="1" applyAlignment="1">
      <alignment horizontal="left" indent="1"/>
    </xf>
    <xf numFmtId="0" fontId="6" fillId="23" borderId="0" xfId="6" applyFont="1" applyFill="1" applyAlignment="1">
      <alignment vertical="center"/>
    </xf>
    <xf numFmtId="0" fontId="27" fillId="23" borderId="0" xfId="6" applyFont="1" applyFill="1"/>
    <xf numFmtId="0" fontId="27" fillId="23" borderId="0" xfId="6" applyFont="1" applyFill="1" applyAlignment="1">
      <alignment horizontal="center"/>
    </xf>
    <xf numFmtId="0" fontId="1" fillId="0" borderId="0" xfId="6"/>
    <xf numFmtId="0" fontId="1" fillId="17" borderId="13" xfId="6" applyFill="1" applyBorder="1" applyAlignment="1">
      <alignment horizontal="center"/>
    </xf>
    <xf numFmtId="0" fontId="1" fillId="17" borderId="14" xfId="6" applyFill="1" applyBorder="1" applyAlignment="1">
      <alignment horizontal="left" indent="1"/>
    </xf>
    <xf numFmtId="0" fontId="1" fillId="17" borderId="14" xfId="6" applyFill="1" applyBorder="1"/>
    <xf numFmtId="0" fontId="1" fillId="17" borderId="15" xfId="6" applyFill="1" applyBorder="1"/>
    <xf numFmtId="0" fontId="1" fillId="0" borderId="0" xfId="6" applyAlignment="1">
      <alignment vertical="center"/>
    </xf>
    <xf numFmtId="0" fontId="28" fillId="17" borderId="16" xfId="6" applyFont="1" applyFill="1" applyBorder="1" applyAlignment="1">
      <alignment horizontal="center" vertical="center"/>
    </xf>
    <xf numFmtId="0" fontId="28" fillId="17" borderId="0" xfId="6" applyFont="1" applyFill="1" applyBorder="1" applyAlignment="1">
      <alignment vertical="center"/>
    </xf>
    <xf numFmtId="0" fontId="1" fillId="17" borderId="0" xfId="6" applyFill="1" applyBorder="1" applyAlignment="1">
      <alignment vertical="center"/>
    </xf>
    <xf numFmtId="0" fontId="29" fillId="17" borderId="0" xfId="7" applyFill="1" applyBorder="1" applyAlignment="1">
      <alignment vertical="center"/>
    </xf>
    <xf numFmtId="0" fontId="1" fillId="17" borderId="17" xfId="6" applyFill="1" applyBorder="1" applyAlignment="1">
      <alignment vertical="center"/>
    </xf>
    <xf numFmtId="0" fontId="1" fillId="17" borderId="18" xfId="6" applyFill="1" applyBorder="1" applyAlignment="1">
      <alignment horizontal="center"/>
    </xf>
    <xf numFmtId="0" fontId="1" fillId="17" borderId="19" xfId="6" applyFill="1" applyBorder="1" applyAlignment="1">
      <alignment horizontal="left" indent="1"/>
    </xf>
    <xf numFmtId="0" fontId="1" fillId="17" borderId="19" xfId="6" applyFill="1" applyBorder="1"/>
    <xf numFmtId="0" fontId="1" fillId="17" borderId="20" xfId="6" applyFill="1" applyBorder="1"/>
    <xf numFmtId="0" fontId="2" fillId="2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/>
    </xf>
    <xf numFmtId="0" fontId="2" fillId="16" borderId="0" xfId="0" applyFont="1" applyFill="1" applyAlignment="1">
      <alignment horizontal="center" vertical="center"/>
    </xf>
    <xf numFmtId="0" fontId="10" fillId="0" borderId="0" xfId="0" quotePrefix="1" applyFont="1" applyAlignment="1">
      <alignment horizontal="left" vertical="top" wrapText="1"/>
    </xf>
    <xf numFmtId="0" fontId="2" fillId="18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15" borderId="0" xfId="0" applyFill="1" applyAlignment="1">
      <alignment horizontal="left" vertical="top" wrapText="1"/>
    </xf>
    <xf numFmtId="0" fontId="26" fillId="21" borderId="0" xfId="0" quotePrefix="1" applyFont="1" applyFill="1" applyAlignment="1">
      <alignment horizontal="left" vertical="top" wrapText="1"/>
    </xf>
  </cellXfs>
  <cellStyles count="13">
    <cellStyle name="Comma" xfId="2" builtinId="3"/>
    <cellStyle name="Comma 2" xfId="8"/>
    <cellStyle name="Currency" xfId="1" builtinId="4"/>
    <cellStyle name="Currency 2" xfId="9"/>
    <cellStyle name="Hyperlink" xfId="4" builtinId="8"/>
    <cellStyle name="Hyperlink 2" xfId="7"/>
    <cellStyle name="Normal" xfId="0" builtinId="0"/>
    <cellStyle name="Normal 2" xfId="10"/>
    <cellStyle name="Normal 3" xfId="11"/>
    <cellStyle name="Normal 4" xfId="6"/>
    <cellStyle name="Normal_Text to Columns" xfId="3"/>
    <cellStyle name="Percent" xfId="5" builtinId="5"/>
    <cellStyle name="Percent 2" xfId="12"/>
  </cellStyles>
  <dxfs count="12"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LARGER SALES 2011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877579326974372E-2"/>
          <c:y val="0.18091462525517643"/>
          <c:w val="0.8822459082858547"/>
          <c:h val="0.65763961796442727"/>
        </c:manualLayout>
      </c:layout>
      <c:lineChart>
        <c:grouping val="standard"/>
        <c:varyColors val="0"/>
        <c:ser>
          <c:idx val="0"/>
          <c:order val="0"/>
          <c:tx>
            <c:strRef>
              <c:f>'Camera Tool'!$A$4</c:f>
              <c:strCache>
                <c:ptCount val="1"/>
                <c:pt idx="0">
                  <c:v>LARGER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'Camera Tool'!$B$3:$M$3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'Camera Tool'!$B$4:$M$4</c:f>
              <c:numCache>
                <c:formatCode>General</c:formatCode>
                <c:ptCount val="12"/>
                <c:pt idx="0">
                  <c:v>52</c:v>
                </c:pt>
                <c:pt idx="1">
                  <c:v>48</c:v>
                </c:pt>
                <c:pt idx="2">
                  <c:v>61</c:v>
                </c:pt>
                <c:pt idx="3">
                  <c:v>39</c:v>
                </c:pt>
                <c:pt idx="4">
                  <c:v>41</c:v>
                </c:pt>
                <c:pt idx="5">
                  <c:v>35</c:v>
                </c:pt>
                <c:pt idx="6">
                  <c:v>53</c:v>
                </c:pt>
                <c:pt idx="7">
                  <c:v>45</c:v>
                </c:pt>
                <c:pt idx="8">
                  <c:v>41</c:v>
                </c:pt>
                <c:pt idx="9">
                  <c:v>54</c:v>
                </c:pt>
                <c:pt idx="10">
                  <c:v>56</c:v>
                </c:pt>
                <c:pt idx="11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292072"/>
        <c:axId val="736292464"/>
      </c:lineChart>
      <c:catAx>
        <c:axId val="73629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6292464"/>
        <c:crosses val="autoZero"/>
        <c:auto val="1"/>
        <c:lblAlgn val="ctr"/>
        <c:lblOffset val="100"/>
        <c:noMultiLvlLbl val="0"/>
      </c:catAx>
      <c:valAx>
        <c:axId val="73629246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6292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A88D5AB-EE71-483B-BE9E-02FF0A51DE43}" type="doc">
      <dgm:prSet loTypeId="urn:microsoft.com/office/officeart/2005/8/layout/hList7#1" loCatId="list" qsTypeId="urn:microsoft.com/office/officeart/2005/8/quickstyle/simple1" qsCatId="simple" csTypeId="urn:microsoft.com/office/officeart/2005/8/colors/colorful3" csCatId="colorful" phldr="0"/>
      <dgm:spPr/>
    </dgm:pt>
    <dgm:pt modelId="{61832CE8-C9AA-4F38-B3A0-762B9150FC26}">
      <dgm:prSet phldrT="[Text]" phldr="1"/>
      <dgm:spPr/>
      <dgm:t>
        <a:bodyPr/>
        <a:lstStyle/>
        <a:p>
          <a:endParaRPr lang="en-AU"/>
        </a:p>
      </dgm:t>
    </dgm:pt>
    <dgm:pt modelId="{8DB62232-166F-4505-BE15-6B8BBD2E1A19}" type="parTrans" cxnId="{055666DB-4752-438C-9339-3976608F7825}">
      <dgm:prSet/>
      <dgm:spPr/>
      <dgm:t>
        <a:bodyPr/>
        <a:lstStyle/>
        <a:p>
          <a:endParaRPr lang="en-AU"/>
        </a:p>
      </dgm:t>
    </dgm:pt>
    <dgm:pt modelId="{22EA9C00-44AF-45E0-B6C5-69434BA842B8}" type="sibTrans" cxnId="{055666DB-4752-438C-9339-3976608F7825}">
      <dgm:prSet/>
      <dgm:spPr/>
      <dgm:t>
        <a:bodyPr/>
        <a:lstStyle/>
        <a:p>
          <a:endParaRPr lang="en-AU"/>
        </a:p>
      </dgm:t>
    </dgm:pt>
    <dgm:pt modelId="{25359163-564E-481B-8BA2-2CA32862919C}">
      <dgm:prSet phldrT="[Text]" phldr="1"/>
      <dgm:spPr/>
      <dgm:t>
        <a:bodyPr/>
        <a:lstStyle/>
        <a:p>
          <a:endParaRPr lang="en-AU"/>
        </a:p>
      </dgm:t>
    </dgm:pt>
    <dgm:pt modelId="{8E43EF58-DAE5-47AF-9C7E-EBEFD95D5816}" type="parTrans" cxnId="{F48C1E05-51B4-457C-911D-EDC121352467}">
      <dgm:prSet/>
      <dgm:spPr/>
      <dgm:t>
        <a:bodyPr/>
        <a:lstStyle/>
        <a:p>
          <a:endParaRPr lang="en-AU"/>
        </a:p>
      </dgm:t>
    </dgm:pt>
    <dgm:pt modelId="{E4C77F5E-E891-4DB0-B5BA-5138978F13C6}" type="sibTrans" cxnId="{F48C1E05-51B4-457C-911D-EDC121352467}">
      <dgm:prSet/>
      <dgm:spPr/>
      <dgm:t>
        <a:bodyPr/>
        <a:lstStyle/>
        <a:p>
          <a:endParaRPr lang="en-AU"/>
        </a:p>
      </dgm:t>
    </dgm:pt>
    <dgm:pt modelId="{F61CAE4F-0391-4D90-91A2-577329F6B40A}">
      <dgm:prSet phldrT="[Text]" phldr="1"/>
      <dgm:spPr/>
      <dgm:t>
        <a:bodyPr/>
        <a:lstStyle/>
        <a:p>
          <a:endParaRPr lang="en-AU"/>
        </a:p>
      </dgm:t>
    </dgm:pt>
    <dgm:pt modelId="{CEC4BD62-E9C3-443E-8792-3CFE2FDDD414}" type="parTrans" cxnId="{B71493C1-9C52-4F27-A96D-22A731F80944}">
      <dgm:prSet/>
      <dgm:spPr/>
      <dgm:t>
        <a:bodyPr/>
        <a:lstStyle/>
        <a:p>
          <a:endParaRPr lang="en-AU"/>
        </a:p>
      </dgm:t>
    </dgm:pt>
    <dgm:pt modelId="{E24500E7-9E66-473E-8A73-9E68606F9D0D}" type="sibTrans" cxnId="{B71493C1-9C52-4F27-A96D-22A731F80944}">
      <dgm:prSet/>
      <dgm:spPr/>
      <dgm:t>
        <a:bodyPr/>
        <a:lstStyle/>
        <a:p>
          <a:endParaRPr lang="en-AU"/>
        </a:p>
      </dgm:t>
    </dgm:pt>
    <dgm:pt modelId="{92EA5CE4-F391-4DB3-A9BF-9C3F68FC9110}" type="pres">
      <dgm:prSet presAssocID="{2A88D5AB-EE71-483B-BE9E-02FF0A51DE43}" presName="Name0" presStyleCnt="0">
        <dgm:presLayoutVars>
          <dgm:dir/>
          <dgm:resizeHandles val="exact"/>
        </dgm:presLayoutVars>
      </dgm:prSet>
      <dgm:spPr/>
    </dgm:pt>
    <dgm:pt modelId="{221B0D0C-EFBE-4969-B02A-D09531782A41}" type="pres">
      <dgm:prSet presAssocID="{2A88D5AB-EE71-483B-BE9E-02FF0A51DE43}" presName="fgShape" presStyleLbl="fgShp" presStyleIdx="0" presStyleCnt="1"/>
      <dgm:spPr/>
    </dgm:pt>
    <dgm:pt modelId="{5B6C4D93-ED0E-4B2A-8872-07C1820722BF}" type="pres">
      <dgm:prSet presAssocID="{2A88D5AB-EE71-483B-BE9E-02FF0A51DE43}" presName="linComp" presStyleCnt="0"/>
      <dgm:spPr/>
    </dgm:pt>
    <dgm:pt modelId="{01C0AFDA-9207-4427-8CC9-BBCE8782DD4C}" type="pres">
      <dgm:prSet presAssocID="{61832CE8-C9AA-4F38-B3A0-762B9150FC26}" presName="compNode" presStyleCnt="0"/>
      <dgm:spPr/>
    </dgm:pt>
    <dgm:pt modelId="{D3A9B9C5-B092-4272-BF76-0DD7154890A0}" type="pres">
      <dgm:prSet presAssocID="{61832CE8-C9AA-4F38-B3A0-762B9150FC26}" presName="bkgdShape" presStyleLbl="node1" presStyleIdx="0" presStyleCnt="3"/>
      <dgm:spPr/>
      <dgm:t>
        <a:bodyPr/>
        <a:lstStyle/>
        <a:p>
          <a:endParaRPr lang="en-AU"/>
        </a:p>
      </dgm:t>
    </dgm:pt>
    <dgm:pt modelId="{39A261AB-6C40-4B23-9FD7-F4BD4031E70E}" type="pres">
      <dgm:prSet presAssocID="{61832CE8-C9AA-4F38-B3A0-762B9150FC26}" presName="nodeTx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en-AU"/>
        </a:p>
      </dgm:t>
    </dgm:pt>
    <dgm:pt modelId="{9FAAFB78-D2FA-4B73-80AF-AD67660B9CFB}" type="pres">
      <dgm:prSet presAssocID="{61832CE8-C9AA-4F38-B3A0-762B9150FC26}" presName="invisiNode" presStyleLbl="node1" presStyleIdx="0" presStyleCnt="3"/>
      <dgm:spPr/>
    </dgm:pt>
    <dgm:pt modelId="{8AFBA074-E8BB-4C27-9D5C-E6ED4DAB6E7A}" type="pres">
      <dgm:prSet presAssocID="{61832CE8-C9AA-4F38-B3A0-762B9150FC26}" presName="imagNode" presStyleLbl="fgImgPlace1" presStyleIdx="0" presStyleCnt="3"/>
      <dgm:spPr/>
    </dgm:pt>
    <dgm:pt modelId="{83363E64-C19F-4ACA-9D9C-79978839AD45}" type="pres">
      <dgm:prSet presAssocID="{22EA9C00-44AF-45E0-B6C5-69434BA842B8}" presName="sibTrans" presStyleLbl="sibTrans2D1" presStyleIdx="0" presStyleCnt="0"/>
      <dgm:spPr/>
      <dgm:t>
        <a:bodyPr/>
        <a:lstStyle/>
        <a:p>
          <a:endParaRPr lang="en-AU"/>
        </a:p>
      </dgm:t>
    </dgm:pt>
    <dgm:pt modelId="{C6DED689-AD76-4961-879E-0D328941B47E}" type="pres">
      <dgm:prSet presAssocID="{25359163-564E-481B-8BA2-2CA32862919C}" presName="compNode" presStyleCnt="0"/>
      <dgm:spPr/>
    </dgm:pt>
    <dgm:pt modelId="{2F226D8D-C9D2-4614-9E01-E8171B0ABCC3}" type="pres">
      <dgm:prSet presAssocID="{25359163-564E-481B-8BA2-2CA32862919C}" presName="bkgdShape" presStyleLbl="node1" presStyleIdx="1" presStyleCnt="3"/>
      <dgm:spPr/>
      <dgm:t>
        <a:bodyPr/>
        <a:lstStyle/>
        <a:p>
          <a:endParaRPr lang="en-AU"/>
        </a:p>
      </dgm:t>
    </dgm:pt>
    <dgm:pt modelId="{1267F893-22AB-49CD-9C0C-86D22BA606E6}" type="pres">
      <dgm:prSet presAssocID="{25359163-564E-481B-8BA2-2CA32862919C}" presName="nodeTx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en-AU"/>
        </a:p>
      </dgm:t>
    </dgm:pt>
    <dgm:pt modelId="{E12709A0-FAC9-442E-83D9-F486B68E0225}" type="pres">
      <dgm:prSet presAssocID="{25359163-564E-481B-8BA2-2CA32862919C}" presName="invisiNode" presStyleLbl="node1" presStyleIdx="1" presStyleCnt="3"/>
      <dgm:spPr/>
    </dgm:pt>
    <dgm:pt modelId="{A4E57014-05C4-41E0-80EF-2C36E9232978}" type="pres">
      <dgm:prSet presAssocID="{25359163-564E-481B-8BA2-2CA32862919C}" presName="imagNode" presStyleLbl="fgImgPlace1" presStyleIdx="1" presStyleCnt="3"/>
      <dgm:spPr/>
    </dgm:pt>
    <dgm:pt modelId="{7165DEF9-A8A6-4F9E-8A5F-102A9466BC04}" type="pres">
      <dgm:prSet presAssocID="{E4C77F5E-E891-4DB0-B5BA-5138978F13C6}" presName="sibTrans" presStyleLbl="sibTrans2D1" presStyleIdx="0" presStyleCnt="0"/>
      <dgm:spPr/>
      <dgm:t>
        <a:bodyPr/>
        <a:lstStyle/>
        <a:p>
          <a:endParaRPr lang="en-AU"/>
        </a:p>
      </dgm:t>
    </dgm:pt>
    <dgm:pt modelId="{CBC7D3BF-9D2C-4A64-860A-E18913C75C31}" type="pres">
      <dgm:prSet presAssocID="{F61CAE4F-0391-4D90-91A2-577329F6B40A}" presName="compNode" presStyleCnt="0"/>
      <dgm:spPr/>
    </dgm:pt>
    <dgm:pt modelId="{21D687D3-AA10-4B76-98E3-54763243C852}" type="pres">
      <dgm:prSet presAssocID="{F61CAE4F-0391-4D90-91A2-577329F6B40A}" presName="bkgdShape" presStyleLbl="node1" presStyleIdx="2" presStyleCnt="3"/>
      <dgm:spPr/>
      <dgm:t>
        <a:bodyPr/>
        <a:lstStyle/>
        <a:p>
          <a:endParaRPr lang="en-AU"/>
        </a:p>
      </dgm:t>
    </dgm:pt>
    <dgm:pt modelId="{CC2EC98D-86EA-4C62-8010-F75986512798}" type="pres">
      <dgm:prSet presAssocID="{F61CAE4F-0391-4D90-91A2-577329F6B40A}" presName="nodeTx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en-AU"/>
        </a:p>
      </dgm:t>
    </dgm:pt>
    <dgm:pt modelId="{6D20CF79-1D64-4025-8908-CC5D346CF2AD}" type="pres">
      <dgm:prSet presAssocID="{F61CAE4F-0391-4D90-91A2-577329F6B40A}" presName="invisiNode" presStyleLbl="node1" presStyleIdx="2" presStyleCnt="3"/>
      <dgm:spPr/>
    </dgm:pt>
    <dgm:pt modelId="{08E2D0C0-8B13-45B8-AB50-43E2641DD367}" type="pres">
      <dgm:prSet presAssocID="{F61CAE4F-0391-4D90-91A2-577329F6B40A}" presName="imagNode" presStyleLbl="fgImgPlace1" presStyleIdx="2" presStyleCnt="3"/>
      <dgm:spPr/>
    </dgm:pt>
  </dgm:ptLst>
  <dgm:cxnLst>
    <dgm:cxn modelId="{2EF2C2DB-7827-4897-A57B-2E12A9D867B6}" type="presOf" srcId="{F61CAE4F-0391-4D90-91A2-577329F6B40A}" destId="{CC2EC98D-86EA-4C62-8010-F75986512798}" srcOrd="1" destOrd="0" presId="urn:microsoft.com/office/officeart/2005/8/layout/hList7#1"/>
    <dgm:cxn modelId="{F199269A-CE3F-415F-A7A1-C7691F24301E}" type="presOf" srcId="{22EA9C00-44AF-45E0-B6C5-69434BA842B8}" destId="{83363E64-C19F-4ACA-9D9C-79978839AD45}" srcOrd="0" destOrd="0" presId="urn:microsoft.com/office/officeart/2005/8/layout/hList7#1"/>
    <dgm:cxn modelId="{E3DB47BE-3202-4E32-8B8B-B7C8870AC91F}" type="presOf" srcId="{61832CE8-C9AA-4F38-B3A0-762B9150FC26}" destId="{39A261AB-6C40-4B23-9FD7-F4BD4031E70E}" srcOrd="1" destOrd="0" presId="urn:microsoft.com/office/officeart/2005/8/layout/hList7#1"/>
    <dgm:cxn modelId="{30FD8220-E630-4173-809B-76E40CC1D79B}" type="presOf" srcId="{25359163-564E-481B-8BA2-2CA32862919C}" destId="{1267F893-22AB-49CD-9C0C-86D22BA606E6}" srcOrd="1" destOrd="0" presId="urn:microsoft.com/office/officeart/2005/8/layout/hList7#1"/>
    <dgm:cxn modelId="{B65B4FBD-0EDF-4D44-A454-42B1D74A8158}" type="presOf" srcId="{2A88D5AB-EE71-483B-BE9E-02FF0A51DE43}" destId="{92EA5CE4-F391-4DB3-A9BF-9C3F68FC9110}" srcOrd="0" destOrd="0" presId="urn:microsoft.com/office/officeart/2005/8/layout/hList7#1"/>
    <dgm:cxn modelId="{F48C1E05-51B4-457C-911D-EDC121352467}" srcId="{2A88D5AB-EE71-483B-BE9E-02FF0A51DE43}" destId="{25359163-564E-481B-8BA2-2CA32862919C}" srcOrd="1" destOrd="0" parTransId="{8E43EF58-DAE5-47AF-9C7E-EBEFD95D5816}" sibTransId="{E4C77F5E-E891-4DB0-B5BA-5138978F13C6}"/>
    <dgm:cxn modelId="{055666DB-4752-438C-9339-3976608F7825}" srcId="{2A88D5AB-EE71-483B-BE9E-02FF0A51DE43}" destId="{61832CE8-C9AA-4F38-B3A0-762B9150FC26}" srcOrd="0" destOrd="0" parTransId="{8DB62232-166F-4505-BE15-6B8BBD2E1A19}" sibTransId="{22EA9C00-44AF-45E0-B6C5-69434BA842B8}"/>
    <dgm:cxn modelId="{B71493C1-9C52-4F27-A96D-22A731F80944}" srcId="{2A88D5AB-EE71-483B-BE9E-02FF0A51DE43}" destId="{F61CAE4F-0391-4D90-91A2-577329F6B40A}" srcOrd="2" destOrd="0" parTransId="{CEC4BD62-E9C3-443E-8792-3CFE2FDDD414}" sibTransId="{E24500E7-9E66-473E-8A73-9E68606F9D0D}"/>
    <dgm:cxn modelId="{2D4E5F85-753C-4D6E-A09F-3210B0EAC1B2}" type="presOf" srcId="{E4C77F5E-E891-4DB0-B5BA-5138978F13C6}" destId="{7165DEF9-A8A6-4F9E-8A5F-102A9466BC04}" srcOrd="0" destOrd="0" presId="urn:microsoft.com/office/officeart/2005/8/layout/hList7#1"/>
    <dgm:cxn modelId="{08AF3793-A6A2-46F1-B551-43175CE417D8}" type="presOf" srcId="{F61CAE4F-0391-4D90-91A2-577329F6B40A}" destId="{21D687D3-AA10-4B76-98E3-54763243C852}" srcOrd="0" destOrd="0" presId="urn:microsoft.com/office/officeart/2005/8/layout/hList7#1"/>
    <dgm:cxn modelId="{94AA9917-6E7B-4439-9B3E-B5015F77CE94}" type="presOf" srcId="{25359163-564E-481B-8BA2-2CA32862919C}" destId="{2F226D8D-C9D2-4614-9E01-E8171B0ABCC3}" srcOrd="0" destOrd="0" presId="urn:microsoft.com/office/officeart/2005/8/layout/hList7#1"/>
    <dgm:cxn modelId="{888E57D0-821A-467C-8E2F-2BCF74335D5A}" type="presOf" srcId="{61832CE8-C9AA-4F38-B3A0-762B9150FC26}" destId="{D3A9B9C5-B092-4272-BF76-0DD7154890A0}" srcOrd="0" destOrd="0" presId="urn:microsoft.com/office/officeart/2005/8/layout/hList7#1"/>
    <dgm:cxn modelId="{1C98AC96-6450-4D31-BD01-11F9A187B065}" type="presParOf" srcId="{92EA5CE4-F391-4DB3-A9BF-9C3F68FC9110}" destId="{221B0D0C-EFBE-4969-B02A-D09531782A41}" srcOrd="0" destOrd="0" presId="urn:microsoft.com/office/officeart/2005/8/layout/hList7#1"/>
    <dgm:cxn modelId="{9ED7A6BF-FA12-411D-A715-7395C2C64CBF}" type="presParOf" srcId="{92EA5CE4-F391-4DB3-A9BF-9C3F68FC9110}" destId="{5B6C4D93-ED0E-4B2A-8872-07C1820722BF}" srcOrd="1" destOrd="0" presId="urn:microsoft.com/office/officeart/2005/8/layout/hList7#1"/>
    <dgm:cxn modelId="{9201DD30-923B-4129-90E1-A937794E0FA3}" type="presParOf" srcId="{5B6C4D93-ED0E-4B2A-8872-07C1820722BF}" destId="{01C0AFDA-9207-4427-8CC9-BBCE8782DD4C}" srcOrd="0" destOrd="0" presId="urn:microsoft.com/office/officeart/2005/8/layout/hList7#1"/>
    <dgm:cxn modelId="{6479C5E5-C130-4875-81A8-12367AADDE0A}" type="presParOf" srcId="{01C0AFDA-9207-4427-8CC9-BBCE8782DD4C}" destId="{D3A9B9C5-B092-4272-BF76-0DD7154890A0}" srcOrd="0" destOrd="0" presId="urn:microsoft.com/office/officeart/2005/8/layout/hList7#1"/>
    <dgm:cxn modelId="{C0C11E55-57E7-47C5-AA81-0D6653D0726A}" type="presParOf" srcId="{01C0AFDA-9207-4427-8CC9-BBCE8782DD4C}" destId="{39A261AB-6C40-4B23-9FD7-F4BD4031E70E}" srcOrd="1" destOrd="0" presId="urn:microsoft.com/office/officeart/2005/8/layout/hList7#1"/>
    <dgm:cxn modelId="{F4912782-7257-4C76-8329-703B36E334C3}" type="presParOf" srcId="{01C0AFDA-9207-4427-8CC9-BBCE8782DD4C}" destId="{9FAAFB78-D2FA-4B73-80AF-AD67660B9CFB}" srcOrd="2" destOrd="0" presId="urn:microsoft.com/office/officeart/2005/8/layout/hList7#1"/>
    <dgm:cxn modelId="{33E3E553-98F5-4273-A859-18C04B10C4F9}" type="presParOf" srcId="{01C0AFDA-9207-4427-8CC9-BBCE8782DD4C}" destId="{8AFBA074-E8BB-4C27-9D5C-E6ED4DAB6E7A}" srcOrd="3" destOrd="0" presId="urn:microsoft.com/office/officeart/2005/8/layout/hList7#1"/>
    <dgm:cxn modelId="{996F2238-CFEA-46B9-B42D-FB1ADE981AAB}" type="presParOf" srcId="{5B6C4D93-ED0E-4B2A-8872-07C1820722BF}" destId="{83363E64-C19F-4ACA-9D9C-79978839AD45}" srcOrd="1" destOrd="0" presId="urn:microsoft.com/office/officeart/2005/8/layout/hList7#1"/>
    <dgm:cxn modelId="{03F05C95-32A3-4653-9337-F8EDC16E9614}" type="presParOf" srcId="{5B6C4D93-ED0E-4B2A-8872-07C1820722BF}" destId="{C6DED689-AD76-4961-879E-0D328941B47E}" srcOrd="2" destOrd="0" presId="urn:microsoft.com/office/officeart/2005/8/layout/hList7#1"/>
    <dgm:cxn modelId="{7F14E4A9-903E-46EC-88EA-44FF82B98ED9}" type="presParOf" srcId="{C6DED689-AD76-4961-879E-0D328941B47E}" destId="{2F226D8D-C9D2-4614-9E01-E8171B0ABCC3}" srcOrd="0" destOrd="0" presId="urn:microsoft.com/office/officeart/2005/8/layout/hList7#1"/>
    <dgm:cxn modelId="{FC826986-3B0B-43F6-81C2-92D7409AB8D8}" type="presParOf" srcId="{C6DED689-AD76-4961-879E-0D328941B47E}" destId="{1267F893-22AB-49CD-9C0C-86D22BA606E6}" srcOrd="1" destOrd="0" presId="urn:microsoft.com/office/officeart/2005/8/layout/hList7#1"/>
    <dgm:cxn modelId="{93B9D73C-3D27-479F-83EB-F5ED62CBF620}" type="presParOf" srcId="{C6DED689-AD76-4961-879E-0D328941B47E}" destId="{E12709A0-FAC9-442E-83D9-F486B68E0225}" srcOrd="2" destOrd="0" presId="urn:microsoft.com/office/officeart/2005/8/layout/hList7#1"/>
    <dgm:cxn modelId="{006BD848-BF2F-43A7-8BF8-C2A855B64D88}" type="presParOf" srcId="{C6DED689-AD76-4961-879E-0D328941B47E}" destId="{A4E57014-05C4-41E0-80EF-2C36E9232978}" srcOrd="3" destOrd="0" presId="urn:microsoft.com/office/officeart/2005/8/layout/hList7#1"/>
    <dgm:cxn modelId="{8C5D2B29-0C5F-4FAA-8111-E47C8D1A1438}" type="presParOf" srcId="{5B6C4D93-ED0E-4B2A-8872-07C1820722BF}" destId="{7165DEF9-A8A6-4F9E-8A5F-102A9466BC04}" srcOrd="3" destOrd="0" presId="urn:microsoft.com/office/officeart/2005/8/layout/hList7#1"/>
    <dgm:cxn modelId="{B1530CB2-578E-46E1-ABED-FAA2862331A5}" type="presParOf" srcId="{5B6C4D93-ED0E-4B2A-8872-07C1820722BF}" destId="{CBC7D3BF-9D2C-4A64-860A-E18913C75C31}" srcOrd="4" destOrd="0" presId="urn:microsoft.com/office/officeart/2005/8/layout/hList7#1"/>
    <dgm:cxn modelId="{63772277-2174-4C55-997A-42E70E784AE9}" type="presParOf" srcId="{CBC7D3BF-9D2C-4A64-860A-E18913C75C31}" destId="{21D687D3-AA10-4B76-98E3-54763243C852}" srcOrd="0" destOrd="0" presId="urn:microsoft.com/office/officeart/2005/8/layout/hList7#1"/>
    <dgm:cxn modelId="{02123ECD-822C-46BE-B44A-8F1030C44CD7}" type="presParOf" srcId="{CBC7D3BF-9D2C-4A64-860A-E18913C75C31}" destId="{CC2EC98D-86EA-4C62-8010-F75986512798}" srcOrd="1" destOrd="0" presId="urn:microsoft.com/office/officeart/2005/8/layout/hList7#1"/>
    <dgm:cxn modelId="{2D3EC88C-641D-492B-973E-A76D4A12ECE6}" type="presParOf" srcId="{CBC7D3BF-9D2C-4A64-860A-E18913C75C31}" destId="{6D20CF79-1D64-4025-8908-CC5D346CF2AD}" srcOrd="2" destOrd="0" presId="urn:microsoft.com/office/officeart/2005/8/layout/hList7#1"/>
    <dgm:cxn modelId="{F4A95779-815E-4C7F-BE13-C3CEEBCDD926}" type="presParOf" srcId="{CBC7D3BF-9D2C-4A64-860A-E18913C75C31}" destId="{08E2D0C0-8B13-45B8-AB50-43E2641DD367}" srcOrd="3" destOrd="0" presId="urn:microsoft.com/office/officeart/2005/8/layout/hList7#1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7#1">
  <dgm:title val=""/>
  <dgm:desc val=""/>
  <dgm:catLst>
    <dgm:cat type="list" pri="12000"/>
    <dgm:cat type="process" pri="20000"/>
    <dgm:cat type="relationship" pri="14000"/>
    <dgm:cat type="convert" pri="8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fgShape" refType="w" fact="0.92"/>
      <dgm:constr type="h" for="ch" forName="fgShape" refType="h" fact="0.15"/>
      <dgm:constr type="b" for="ch" forName="fgShape" refType="h" fact="0.95"/>
      <dgm:constr type="ctrX" for="ch" forName="fgShape" refType="w" fact="0.5"/>
      <dgm:constr type="w" for="ch" forName="linComp" refType="w"/>
      <dgm:constr type="h" for="ch" forName="linComp" refType="h"/>
      <dgm:constr type="ctrX" for="ch" forName="linComp" refType="w" fact="0.5"/>
    </dgm:constrLst>
    <dgm:ruleLst/>
    <dgm:layoutNode name="fgShape" styleLbl="fgShp">
      <dgm:alg type="sp"/>
      <dgm:shape xmlns:r="http://schemas.openxmlformats.org/officeDocument/2006/relationships" type="leftRightArrow" r:blip="" zOrderOff="99999">
        <dgm:adjLst/>
      </dgm:shape>
      <dgm:presOf/>
      <dgm:constrLst/>
      <dgm:ruleLst/>
    </dgm:layoutNode>
    <dgm:layoutNode name="linComp">
      <dgm:choose name="Name1">
        <dgm:if name="Name2" func="var" arg="dir" op="equ" val="norm">
          <dgm:alg type="lin"/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Node" refType="w"/>
        <dgm:constr type="h" for="ch" forName="compNode" refType="h"/>
        <dgm:constr type="w" for="ch" ptType="sibTrans" refType="w" refFor="ch" refForName="compNode" fact="0.03"/>
        <dgm:constr type="primFontSz" for="des" ptType="node" op="equ" val="65"/>
      </dgm:constrLst>
      <dgm:ruleLst/>
      <dgm:forEach name="nodesForEach" axis="ch" ptType="node">
        <dgm:layoutNode name="compNode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ch" forName="bkgdShape" refType="w"/>
            <dgm:constr type="h" for="ch" forName="bkgdShape" refType="h"/>
            <dgm:constr type="w" for="ch" forName="nodeTx" refType="w"/>
            <dgm:constr type="h" for="ch" forName="nodeTx" refType="h" fact="0.4"/>
            <dgm:constr type="b" for="ch" forName="nodeTx" refType="h" fact="0.8"/>
            <dgm:constr type="w" for="ch" forName="invisiNode" refType="w" fact="0.01"/>
            <dgm:constr type="h" for="ch" forName="invisiNode" refType="h" fact="0.06"/>
            <dgm:constr type="t" for="ch" forName="invisiNode"/>
            <dgm:constr type="ctrX" for="ch" forName="invisiNode" refType="w" fact="0.5"/>
            <dgm:constr type="h" for="ch" forName="imagNode" refType="h" fact="0.333"/>
            <dgm:constr type="w" for="ch" forName="imagNode" refType="h" refFor="ch" refForName="imagNode"/>
            <dgm:constr type="ctrX" for="ch" forName="imagNode" refType="w" fact="0.5"/>
            <dgm:constr type="t" for="ch" forName="imagNode" refType="h" fact="0.06"/>
            <dgm:constr type="w" for="ch" forName="imagNode" refType="w" op="lte" fact="0.94"/>
          </dgm:constrLst>
          <dgm:ruleLst/>
          <dgm:layoutNode name="bkgdShape">
            <dgm:alg type="sp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nodeTx">
            <dgm:varLst>
              <dgm:bulletEnabled val="1"/>
            </dgm:varLst>
            <dgm:alg type="tx">
              <dgm:param type="txAnchorVert" val="mid"/>
              <dgm:param type="txAnchorHorzCh" val="ctr"/>
              <dgm:param type="stBulletLvl" val="2"/>
            </dgm:alg>
            <dgm:shape xmlns:r="http://schemas.openxmlformats.org/officeDocument/2006/relationships" type="rect" r:blip="" hideGeom="1">
              <dgm:adjLst/>
            </dgm:shape>
            <dgm:presOf axis="desOrSelf" ptType="node"/>
            <dgm:constrLst/>
            <dgm:ruleLst>
              <dgm:rule type="primFontSz" val="5" fact="NaN" max="NaN"/>
            </dgm:ruleLst>
          </dgm:layoutNode>
          <dgm:layoutNode name="invisiNode">
            <dgm:alg type="sp"/>
            <dgm:shape xmlns:r="http://schemas.openxmlformats.org/officeDocument/2006/relationships" type="roundRect" r:blip="" hideGeom="1">
              <dgm:adjLst>
                <dgm:adj idx="1" val="0.1"/>
              </dgm:adjLst>
            </dgm:shape>
            <dgm:presOf/>
            <dgm:constrLst/>
            <dgm:ruleLst/>
          </dgm:layoutNode>
          <dgm:layoutNode name="imagNode" styleLbl="fgImgPlace1">
            <dgm:alg type="sp"/>
            <dgm:shape xmlns:r="http://schemas.openxmlformats.org/officeDocument/2006/relationships" type="ellipse" r:blip="" blipPhldr="1">
              <dgm:adjLst/>
            </dgm:shape>
            <dgm:presOf/>
            <dgm:constrLst/>
            <dgm:ruleLst/>
          </dgm:layoutNode>
        </dgm:layoutNode>
        <dgm:forEach name="sibTransForEach" axis="followSib" ptType="sibTrans" cnt="1">
          <dgm:layoutNode name="sibTrans">
            <dgm:alg type="sp"/>
            <dgm:shape xmlns:r="http://schemas.openxmlformats.org/officeDocument/2006/relationships" type="rect" r:blip="" hideGeom="1">
              <dgm:adjLst/>
            </dgm:shape>
            <dgm:presOf axis="self"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RIM!A1"/><Relationship Id="rId13" Type="http://schemas.openxmlformats.org/officeDocument/2006/relationships/hyperlink" Target="#'Insert a Subtotal'!A1"/><Relationship Id="rId18" Type="http://schemas.openxmlformats.org/officeDocument/2006/relationships/hyperlink" Target="#STDEV!A1"/><Relationship Id="rId26" Type="http://schemas.openxmlformats.org/officeDocument/2006/relationships/hyperlink" Target="#'VLOOKUP COLUMNS'!A1"/><Relationship Id="rId3" Type="http://schemas.openxmlformats.org/officeDocument/2006/relationships/hyperlink" Target="#'T Function'!A1"/><Relationship Id="rId21" Type="http://schemas.openxmlformats.org/officeDocument/2006/relationships/hyperlink" Target="#'N Function'!A1"/><Relationship Id="rId7" Type="http://schemas.openxmlformats.org/officeDocument/2006/relationships/hyperlink" Target="#'UPPER &amp; LOWER'!A1"/><Relationship Id="rId12" Type="http://schemas.openxmlformats.org/officeDocument/2006/relationships/hyperlink" Target="#'CHOOSE with VLOOKUP'!A1"/><Relationship Id="rId17" Type="http://schemas.openxmlformats.org/officeDocument/2006/relationships/hyperlink" Target="#'Shapes &amp; Smart Art'!A1"/><Relationship Id="rId25" Type="http://schemas.openxmlformats.org/officeDocument/2006/relationships/hyperlink" Target="#'Array Formulas'!A1"/><Relationship Id="rId2" Type="http://schemas.openxmlformats.org/officeDocument/2006/relationships/hyperlink" Target="#CONCATENATE!A1"/><Relationship Id="rId16" Type="http://schemas.openxmlformats.org/officeDocument/2006/relationships/hyperlink" Target="#'RAND &amp; RANDBETWEEN'!A1"/><Relationship Id="rId20" Type="http://schemas.openxmlformats.org/officeDocument/2006/relationships/hyperlink" Target="#'Compound Interest'!A1"/><Relationship Id="rId1" Type="http://schemas.openxmlformats.org/officeDocument/2006/relationships/hyperlink" Target="#'Time Calculations'!A1"/><Relationship Id="rId6" Type="http://schemas.openxmlformats.org/officeDocument/2006/relationships/hyperlink" Target="#'CEILING &amp; FLOOR'!A1"/><Relationship Id="rId11" Type="http://schemas.openxmlformats.org/officeDocument/2006/relationships/hyperlink" Target="#Filters!A1"/><Relationship Id="rId24" Type="http://schemas.openxmlformats.org/officeDocument/2006/relationships/hyperlink" Target="#SUMPRODUCT!A1"/><Relationship Id="rId5" Type="http://schemas.openxmlformats.org/officeDocument/2006/relationships/hyperlink" Target="#CHOOSE!A1"/><Relationship Id="rId15" Type="http://schemas.openxmlformats.org/officeDocument/2006/relationships/hyperlink" Target="#'Text to Columns'!A1"/><Relationship Id="rId23" Type="http://schemas.openxmlformats.org/officeDocument/2006/relationships/image" Target="../media/image1.png"/><Relationship Id="rId10" Type="http://schemas.openxmlformats.org/officeDocument/2006/relationships/hyperlink" Target="#'Conditional Formatting'!A1"/><Relationship Id="rId19" Type="http://schemas.openxmlformats.org/officeDocument/2006/relationships/hyperlink" Target="#'Camera Tool'!A1"/><Relationship Id="rId4" Type="http://schemas.openxmlformats.org/officeDocument/2006/relationships/hyperlink" Target="#'MIN &amp; MAX'!A1"/><Relationship Id="rId9" Type="http://schemas.openxmlformats.org/officeDocument/2006/relationships/hyperlink" Target="#'Cell Formatting'!A1"/><Relationship Id="rId14" Type="http://schemas.openxmlformats.org/officeDocument/2006/relationships/hyperlink" Target="#'Group &amp; Outline'!A1"/><Relationship Id="rId22" Type="http://schemas.openxmlformats.org/officeDocument/2006/relationships/hyperlink" Target="http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calculating-time-in-exce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cell-formatting-tips-tricks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4600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4953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4979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5058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group-and-outline-data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5325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5528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microsoft-excel&#8217;s-t-function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microsoft-excel&#8217;s-n-function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http://www.myonlinetraininghub.com/microsoft-excel-camera-tool" TargetMode="Externa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how-to-calculate-interest-on-savings-in-excel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rand-and-randbetween-functions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1.xml"/><Relationship Id="rId7" Type="http://schemas.microsoft.com/office/2007/relationships/diagramDrawing" Target="../diagrams/drawing1.xml"/><Relationship Id="rId2" Type="http://schemas.openxmlformats.org/officeDocument/2006/relationships/hyperlink" Target="http://www.myonlinetraininghub.com/?p=5849" TargetMode="External"/><Relationship Id="rId1" Type="http://schemas.openxmlformats.org/officeDocument/2006/relationships/image" Target="../media/image4.png"/><Relationship Id="rId6" Type="http://schemas.openxmlformats.org/officeDocument/2006/relationships/diagramColors" Target="../diagrams/colors1.xml"/><Relationship Id="rId5" Type="http://schemas.openxmlformats.org/officeDocument/2006/relationships/diagramQuickStyle" Target="../diagrams/quickStyle1.xml"/><Relationship Id="rId4" Type="http://schemas.openxmlformats.org/officeDocument/2006/relationships/diagramLayout" Target="../diagrams/layou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5919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6187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choose-function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6751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upper-lower-and-proper-functions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trim-function-removes-spaces-from-text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7218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array-formula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vlookup-with-dynamic-column-reference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3</xdr:row>
      <xdr:rowOff>9525</xdr:rowOff>
    </xdr:from>
    <xdr:to>
      <xdr:col>7</xdr:col>
      <xdr:colOff>66674</xdr:colOff>
      <xdr:row>3</xdr:row>
      <xdr:rowOff>275925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752849" y="90487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11</xdr:row>
      <xdr:rowOff>28575</xdr:rowOff>
    </xdr:from>
    <xdr:to>
      <xdr:col>7</xdr:col>
      <xdr:colOff>66674</xdr:colOff>
      <xdr:row>11</xdr:row>
      <xdr:rowOff>294975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3752849" y="343852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12</xdr:row>
      <xdr:rowOff>28575</xdr:rowOff>
    </xdr:from>
    <xdr:to>
      <xdr:col>7</xdr:col>
      <xdr:colOff>66674</xdr:colOff>
      <xdr:row>12</xdr:row>
      <xdr:rowOff>294975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3752849" y="375285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19</xdr:row>
      <xdr:rowOff>28575</xdr:rowOff>
    </xdr:from>
    <xdr:to>
      <xdr:col>7</xdr:col>
      <xdr:colOff>66674</xdr:colOff>
      <xdr:row>19</xdr:row>
      <xdr:rowOff>294975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3752849" y="595312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20</xdr:row>
      <xdr:rowOff>19050</xdr:rowOff>
    </xdr:from>
    <xdr:to>
      <xdr:col>7</xdr:col>
      <xdr:colOff>66674</xdr:colOff>
      <xdr:row>20</xdr:row>
      <xdr:rowOff>285450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3752849" y="625792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21</xdr:row>
      <xdr:rowOff>28575</xdr:rowOff>
    </xdr:from>
    <xdr:to>
      <xdr:col>7</xdr:col>
      <xdr:colOff>66674</xdr:colOff>
      <xdr:row>21</xdr:row>
      <xdr:rowOff>294975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3752849" y="658177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22</xdr:row>
      <xdr:rowOff>38100</xdr:rowOff>
    </xdr:from>
    <xdr:to>
      <xdr:col>7</xdr:col>
      <xdr:colOff>66674</xdr:colOff>
      <xdr:row>22</xdr:row>
      <xdr:rowOff>304500</xdr:rowOff>
    </xdr:to>
    <xdr:sp macro="" textlink="">
      <xdr:nvSpPr>
        <xdr:cNvPr id="8" name="Rounded Rectangle 7">
          <a:hlinkClick xmlns:r="http://schemas.openxmlformats.org/officeDocument/2006/relationships" r:id="rId7"/>
        </xdr:cNvPr>
        <xdr:cNvSpPr/>
      </xdr:nvSpPr>
      <xdr:spPr>
        <a:xfrm>
          <a:off x="3752849" y="690562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23</xdr:row>
      <xdr:rowOff>47625</xdr:rowOff>
    </xdr:from>
    <xdr:to>
      <xdr:col>7</xdr:col>
      <xdr:colOff>66674</xdr:colOff>
      <xdr:row>23</xdr:row>
      <xdr:rowOff>314025</xdr:rowOff>
    </xdr:to>
    <xdr:sp macro="" textlink="">
      <xdr:nvSpPr>
        <xdr:cNvPr id="9" name="Rounded Rectangle 8">
          <a:hlinkClick xmlns:r="http://schemas.openxmlformats.org/officeDocument/2006/relationships" r:id="rId8"/>
        </xdr:cNvPr>
        <xdr:cNvSpPr/>
      </xdr:nvSpPr>
      <xdr:spPr>
        <a:xfrm>
          <a:off x="3752849" y="722947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4</xdr:row>
      <xdr:rowOff>9525</xdr:rowOff>
    </xdr:from>
    <xdr:to>
      <xdr:col>7</xdr:col>
      <xdr:colOff>66674</xdr:colOff>
      <xdr:row>4</xdr:row>
      <xdr:rowOff>275925</xdr:rowOff>
    </xdr:to>
    <xdr:sp macro="" textlink="">
      <xdr:nvSpPr>
        <xdr:cNvPr id="10" name="Rounded Rectangle 9">
          <a:hlinkClick xmlns:r="http://schemas.openxmlformats.org/officeDocument/2006/relationships" r:id="rId9"/>
        </xdr:cNvPr>
        <xdr:cNvSpPr/>
      </xdr:nvSpPr>
      <xdr:spPr>
        <a:xfrm>
          <a:off x="3752849" y="121920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5</xdr:row>
      <xdr:rowOff>19050</xdr:rowOff>
    </xdr:from>
    <xdr:to>
      <xdr:col>7</xdr:col>
      <xdr:colOff>66674</xdr:colOff>
      <xdr:row>5</xdr:row>
      <xdr:rowOff>285450</xdr:rowOff>
    </xdr:to>
    <xdr:sp macro="" textlink="">
      <xdr:nvSpPr>
        <xdr:cNvPr id="11" name="Rounded Rectangle 10">
          <a:hlinkClick xmlns:r="http://schemas.openxmlformats.org/officeDocument/2006/relationships" r:id="rId10"/>
        </xdr:cNvPr>
        <xdr:cNvSpPr/>
      </xdr:nvSpPr>
      <xdr:spPr>
        <a:xfrm>
          <a:off x="3752849" y="154305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6</xdr:row>
      <xdr:rowOff>28575</xdr:rowOff>
    </xdr:from>
    <xdr:to>
      <xdr:col>7</xdr:col>
      <xdr:colOff>66674</xdr:colOff>
      <xdr:row>6</xdr:row>
      <xdr:rowOff>294975</xdr:rowOff>
    </xdr:to>
    <xdr:sp macro="" textlink="">
      <xdr:nvSpPr>
        <xdr:cNvPr id="12" name="Rounded Rectangle 11">
          <a:hlinkClick xmlns:r="http://schemas.openxmlformats.org/officeDocument/2006/relationships" r:id="rId11"/>
        </xdr:cNvPr>
        <xdr:cNvSpPr/>
      </xdr:nvSpPr>
      <xdr:spPr>
        <a:xfrm>
          <a:off x="3752849" y="186690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7</xdr:row>
      <xdr:rowOff>19050</xdr:rowOff>
    </xdr:from>
    <xdr:to>
      <xdr:col>7</xdr:col>
      <xdr:colOff>66674</xdr:colOff>
      <xdr:row>7</xdr:row>
      <xdr:rowOff>285450</xdr:rowOff>
    </xdr:to>
    <xdr:sp macro="" textlink="">
      <xdr:nvSpPr>
        <xdr:cNvPr id="13" name="Rounded Rectangle 12">
          <a:hlinkClick xmlns:r="http://schemas.openxmlformats.org/officeDocument/2006/relationships" r:id="rId12"/>
        </xdr:cNvPr>
        <xdr:cNvSpPr/>
      </xdr:nvSpPr>
      <xdr:spPr>
        <a:xfrm>
          <a:off x="3752849" y="217170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8</xdr:row>
      <xdr:rowOff>28575</xdr:rowOff>
    </xdr:from>
    <xdr:to>
      <xdr:col>7</xdr:col>
      <xdr:colOff>66674</xdr:colOff>
      <xdr:row>8</xdr:row>
      <xdr:rowOff>294975</xdr:rowOff>
    </xdr:to>
    <xdr:sp macro="" textlink="">
      <xdr:nvSpPr>
        <xdr:cNvPr id="14" name="Rounded Rectangle 13">
          <a:hlinkClick xmlns:r="http://schemas.openxmlformats.org/officeDocument/2006/relationships" r:id="rId13"/>
        </xdr:cNvPr>
        <xdr:cNvSpPr/>
      </xdr:nvSpPr>
      <xdr:spPr>
        <a:xfrm>
          <a:off x="3752849" y="249555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9</xdr:row>
      <xdr:rowOff>38100</xdr:rowOff>
    </xdr:from>
    <xdr:to>
      <xdr:col>7</xdr:col>
      <xdr:colOff>66674</xdr:colOff>
      <xdr:row>9</xdr:row>
      <xdr:rowOff>304500</xdr:rowOff>
    </xdr:to>
    <xdr:sp macro="" textlink="">
      <xdr:nvSpPr>
        <xdr:cNvPr id="15" name="Rounded Rectangle 14">
          <a:hlinkClick xmlns:r="http://schemas.openxmlformats.org/officeDocument/2006/relationships" r:id="rId14"/>
        </xdr:cNvPr>
        <xdr:cNvSpPr/>
      </xdr:nvSpPr>
      <xdr:spPr>
        <a:xfrm>
          <a:off x="3752849" y="281940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10</xdr:row>
      <xdr:rowOff>47625</xdr:rowOff>
    </xdr:from>
    <xdr:to>
      <xdr:col>7</xdr:col>
      <xdr:colOff>66674</xdr:colOff>
      <xdr:row>10</xdr:row>
      <xdr:rowOff>314025</xdr:rowOff>
    </xdr:to>
    <xdr:sp macro="" textlink="">
      <xdr:nvSpPr>
        <xdr:cNvPr id="16" name="Rounded Rectangle 15">
          <a:hlinkClick xmlns:r="http://schemas.openxmlformats.org/officeDocument/2006/relationships" r:id="rId15"/>
        </xdr:cNvPr>
        <xdr:cNvSpPr/>
      </xdr:nvSpPr>
      <xdr:spPr>
        <a:xfrm>
          <a:off x="3752849" y="314325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16</xdr:row>
      <xdr:rowOff>28575</xdr:rowOff>
    </xdr:from>
    <xdr:to>
      <xdr:col>7</xdr:col>
      <xdr:colOff>66674</xdr:colOff>
      <xdr:row>16</xdr:row>
      <xdr:rowOff>294975</xdr:rowOff>
    </xdr:to>
    <xdr:sp macro="" textlink="">
      <xdr:nvSpPr>
        <xdr:cNvPr id="17" name="Rounded Rectangle 16">
          <a:hlinkClick xmlns:r="http://schemas.openxmlformats.org/officeDocument/2006/relationships" r:id="rId16"/>
        </xdr:cNvPr>
        <xdr:cNvSpPr/>
      </xdr:nvSpPr>
      <xdr:spPr>
        <a:xfrm>
          <a:off x="3752849" y="501015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17</xdr:row>
      <xdr:rowOff>38100</xdr:rowOff>
    </xdr:from>
    <xdr:to>
      <xdr:col>7</xdr:col>
      <xdr:colOff>66674</xdr:colOff>
      <xdr:row>17</xdr:row>
      <xdr:rowOff>304500</xdr:rowOff>
    </xdr:to>
    <xdr:sp macro="" textlink="">
      <xdr:nvSpPr>
        <xdr:cNvPr id="18" name="Rounded Rectangle 17">
          <a:hlinkClick xmlns:r="http://schemas.openxmlformats.org/officeDocument/2006/relationships" r:id="rId17"/>
        </xdr:cNvPr>
        <xdr:cNvSpPr/>
      </xdr:nvSpPr>
      <xdr:spPr>
        <a:xfrm>
          <a:off x="3752849" y="533400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18</xdr:row>
      <xdr:rowOff>38100</xdr:rowOff>
    </xdr:from>
    <xdr:to>
      <xdr:col>7</xdr:col>
      <xdr:colOff>66674</xdr:colOff>
      <xdr:row>18</xdr:row>
      <xdr:rowOff>304500</xdr:rowOff>
    </xdr:to>
    <xdr:sp macro="" textlink="">
      <xdr:nvSpPr>
        <xdr:cNvPr id="19" name="Rounded Rectangle 18">
          <a:hlinkClick xmlns:r="http://schemas.openxmlformats.org/officeDocument/2006/relationships" r:id="rId18"/>
        </xdr:cNvPr>
        <xdr:cNvSpPr/>
      </xdr:nvSpPr>
      <xdr:spPr>
        <a:xfrm>
          <a:off x="3752849" y="564832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14</xdr:row>
      <xdr:rowOff>28575</xdr:rowOff>
    </xdr:from>
    <xdr:to>
      <xdr:col>7</xdr:col>
      <xdr:colOff>66674</xdr:colOff>
      <xdr:row>14</xdr:row>
      <xdr:rowOff>294975</xdr:rowOff>
    </xdr:to>
    <xdr:sp macro="" textlink="">
      <xdr:nvSpPr>
        <xdr:cNvPr id="20" name="Rounded Rectangle 19">
          <a:hlinkClick xmlns:r="http://schemas.openxmlformats.org/officeDocument/2006/relationships" r:id="rId19"/>
        </xdr:cNvPr>
        <xdr:cNvSpPr/>
      </xdr:nvSpPr>
      <xdr:spPr>
        <a:xfrm>
          <a:off x="3752849" y="438150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15</xdr:row>
      <xdr:rowOff>38100</xdr:rowOff>
    </xdr:from>
    <xdr:to>
      <xdr:col>7</xdr:col>
      <xdr:colOff>66674</xdr:colOff>
      <xdr:row>15</xdr:row>
      <xdr:rowOff>304500</xdr:rowOff>
    </xdr:to>
    <xdr:sp macro="" textlink="">
      <xdr:nvSpPr>
        <xdr:cNvPr id="21" name="Rounded Rectangle 20">
          <a:hlinkClick xmlns:r="http://schemas.openxmlformats.org/officeDocument/2006/relationships" r:id="rId20"/>
        </xdr:cNvPr>
        <xdr:cNvSpPr/>
      </xdr:nvSpPr>
      <xdr:spPr>
        <a:xfrm>
          <a:off x="3752849" y="470535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13</xdr:row>
      <xdr:rowOff>28575</xdr:rowOff>
    </xdr:from>
    <xdr:to>
      <xdr:col>7</xdr:col>
      <xdr:colOff>66674</xdr:colOff>
      <xdr:row>13</xdr:row>
      <xdr:rowOff>294975</xdr:rowOff>
    </xdr:to>
    <xdr:sp macro="" textlink="">
      <xdr:nvSpPr>
        <xdr:cNvPr id="22" name="Rounded Rectangle 21">
          <a:hlinkClick xmlns:r="http://schemas.openxmlformats.org/officeDocument/2006/relationships" r:id="rId21"/>
        </xdr:cNvPr>
        <xdr:cNvSpPr/>
      </xdr:nvSpPr>
      <xdr:spPr>
        <a:xfrm>
          <a:off x="3752849" y="406717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 editAs="oneCell">
    <xdr:from>
      <xdr:col>4</xdr:col>
      <xdr:colOff>476250</xdr:colOff>
      <xdr:row>0</xdr:row>
      <xdr:rowOff>95250</xdr:rowOff>
    </xdr:from>
    <xdr:to>
      <xdr:col>7</xdr:col>
      <xdr:colOff>1020481</xdr:colOff>
      <xdr:row>0</xdr:row>
      <xdr:rowOff>567501</xdr:rowOff>
    </xdr:to>
    <xdr:pic>
      <xdr:nvPicPr>
        <xdr:cNvPr id="23" name="Picture 22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95250"/>
          <a:ext cx="2858806" cy="472251"/>
        </a:xfrm>
        <a:prstGeom prst="rect">
          <a:avLst/>
        </a:prstGeom>
      </xdr:spPr>
    </xdr:pic>
    <xdr:clientData/>
  </xdr:twoCellAnchor>
  <xdr:twoCellAnchor>
    <xdr:from>
      <xdr:col>5</xdr:col>
      <xdr:colOff>352424</xdr:colOff>
      <xdr:row>24</xdr:row>
      <xdr:rowOff>47625</xdr:rowOff>
    </xdr:from>
    <xdr:to>
      <xdr:col>7</xdr:col>
      <xdr:colOff>66674</xdr:colOff>
      <xdr:row>24</xdr:row>
      <xdr:rowOff>314025</xdr:rowOff>
    </xdr:to>
    <xdr:sp macro="" textlink="">
      <xdr:nvSpPr>
        <xdr:cNvPr id="24" name="Rounded Rectangle 23">
          <a:hlinkClick xmlns:r="http://schemas.openxmlformats.org/officeDocument/2006/relationships" r:id="rId24"/>
        </xdr:cNvPr>
        <xdr:cNvSpPr/>
      </xdr:nvSpPr>
      <xdr:spPr>
        <a:xfrm>
          <a:off x="3752849" y="722947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25</xdr:row>
      <xdr:rowOff>57150</xdr:rowOff>
    </xdr:from>
    <xdr:to>
      <xdr:col>7</xdr:col>
      <xdr:colOff>66674</xdr:colOff>
      <xdr:row>26</xdr:row>
      <xdr:rowOff>9225</xdr:rowOff>
    </xdr:to>
    <xdr:sp macro="" textlink="">
      <xdr:nvSpPr>
        <xdr:cNvPr id="25" name="Rounded Rectangle 24">
          <a:hlinkClick xmlns:r="http://schemas.openxmlformats.org/officeDocument/2006/relationships" r:id="rId25"/>
        </xdr:cNvPr>
        <xdr:cNvSpPr/>
      </xdr:nvSpPr>
      <xdr:spPr>
        <a:xfrm>
          <a:off x="3752849" y="7867650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26</xdr:row>
      <xdr:rowOff>57150</xdr:rowOff>
    </xdr:from>
    <xdr:to>
      <xdr:col>7</xdr:col>
      <xdr:colOff>66674</xdr:colOff>
      <xdr:row>27</xdr:row>
      <xdr:rowOff>9225</xdr:rowOff>
    </xdr:to>
    <xdr:sp macro="" textlink="">
      <xdr:nvSpPr>
        <xdr:cNvPr id="26" name="Rounded Rectangle 25">
          <a:hlinkClick xmlns:r="http://schemas.openxmlformats.org/officeDocument/2006/relationships" r:id="rId26"/>
        </xdr:cNvPr>
        <xdr:cNvSpPr/>
      </xdr:nvSpPr>
      <xdr:spPr>
        <a:xfrm>
          <a:off x="3752849" y="8181975"/>
          <a:ext cx="1314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7</xdr:row>
      <xdr:rowOff>104775</xdr:rowOff>
    </xdr:from>
    <xdr:to>
      <xdr:col>8</xdr:col>
      <xdr:colOff>76200</xdr:colOff>
      <xdr:row>10</xdr:row>
      <xdr:rowOff>190500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295650" y="1638300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57150</xdr:rowOff>
    </xdr:from>
    <xdr:to>
      <xdr:col>2</xdr:col>
      <xdr:colOff>1638300</xdr:colOff>
      <xdr:row>17</xdr:row>
      <xdr:rowOff>142875</xdr:rowOff>
    </xdr:to>
    <xdr:sp macro="" textlink="">
      <xdr:nvSpPr>
        <xdr:cNvPr id="2" name="Rounded Rectangle 1"/>
        <xdr:cNvSpPr/>
      </xdr:nvSpPr>
      <xdr:spPr>
        <a:xfrm>
          <a:off x="371475" y="3790950"/>
          <a:ext cx="3257550" cy="8477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600" b="1"/>
            <a:t>Shapes -</a:t>
          </a:r>
          <a:r>
            <a:rPr lang="en-AU" sz="1600" b="1" baseline="0"/>
            <a:t> An Alternative to </a:t>
          </a:r>
        </a:p>
        <a:p>
          <a:pPr algn="ctr"/>
          <a:r>
            <a:rPr lang="en-AU" sz="1600" b="1" baseline="0"/>
            <a:t>Merge &amp; Centre</a:t>
          </a:r>
          <a:endParaRPr lang="en-AU" sz="1600" b="1"/>
        </a:p>
      </xdr:txBody>
    </xdr:sp>
    <xdr:clientData/>
  </xdr:twoCellAnchor>
  <xdr:twoCellAnchor>
    <xdr:from>
      <xdr:col>4</xdr:col>
      <xdr:colOff>1285875</xdr:colOff>
      <xdr:row>0</xdr:row>
      <xdr:rowOff>95250</xdr:rowOff>
    </xdr:from>
    <xdr:to>
      <xdr:col>8</xdr:col>
      <xdr:colOff>76200</xdr:colOff>
      <xdr:row>3</xdr:row>
      <xdr:rowOff>114300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5715000" y="95250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666751</xdr:colOff>
      <xdr:row>6</xdr:row>
      <xdr:rowOff>28574</xdr:rowOff>
    </xdr:from>
    <xdr:to>
      <xdr:col>4</xdr:col>
      <xdr:colOff>19050</xdr:colOff>
      <xdr:row>7</xdr:row>
      <xdr:rowOff>133349</xdr:rowOff>
    </xdr:to>
    <xdr:sp macro="" textlink="">
      <xdr:nvSpPr>
        <xdr:cNvPr id="2" name="TextBox 1"/>
        <xdr:cNvSpPr txBox="1"/>
      </xdr:nvSpPr>
      <xdr:spPr>
        <a:xfrm>
          <a:off x="1590676" y="1171574"/>
          <a:ext cx="771524" cy="295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Data Bars</a:t>
          </a:r>
        </a:p>
      </xdr:txBody>
    </xdr:sp>
    <xdr:clientData/>
  </xdr:twoCellAnchor>
  <xdr:twoCellAnchor>
    <xdr:from>
      <xdr:col>4</xdr:col>
      <xdr:colOff>47625</xdr:colOff>
      <xdr:row>8</xdr:row>
      <xdr:rowOff>57149</xdr:rowOff>
    </xdr:from>
    <xdr:to>
      <xdr:col>6</xdr:col>
      <xdr:colOff>123825</xdr:colOff>
      <xdr:row>9</xdr:row>
      <xdr:rowOff>161924</xdr:rowOff>
    </xdr:to>
    <xdr:sp macro="" textlink="">
      <xdr:nvSpPr>
        <xdr:cNvPr id="3" name="TextBox 2"/>
        <xdr:cNvSpPr txBox="1"/>
      </xdr:nvSpPr>
      <xdr:spPr>
        <a:xfrm>
          <a:off x="2390775" y="1581149"/>
          <a:ext cx="981075" cy="295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Colour Scales</a:t>
          </a:r>
        </a:p>
      </xdr:txBody>
    </xdr:sp>
    <xdr:clientData/>
  </xdr:twoCellAnchor>
  <xdr:twoCellAnchor>
    <xdr:from>
      <xdr:col>6</xdr:col>
      <xdr:colOff>123826</xdr:colOff>
      <xdr:row>10</xdr:row>
      <xdr:rowOff>95249</xdr:rowOff>
    </xdr:from>
    <xdr:to>
      <xdr:col>8</xdr:col>
      <xdr:colOff>57150</xdr:colOff>
      <xdr:row>12</xdr:row>
      <xdr:rowOff>9524</xdr:rowOff>
    </xdr:to>
    <xdr:sp macro="" textlink="">
      <xdr:nvSpPr>
        <xdr:cNvPr id="4" name="TextBox 3"/>
        <xdr:cNvSpPr txBox="1"/>
      </xdr:nvSpPr>
      <xdr:spPr>
        <a:xfrm>
          <a:off x="3371851" y="2000249"/>
          <a:ext cx="771524" cy="295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Icon Sets</a:t>
          </a:r>
        </a:p>
      </xdr:txBody>
    </xdr:sp>
    <xdr:clientData/>
  </xdr:twoCellAnchor>
  <xdr:twoCellAnchor>
    <xdr:from>
      <xdr:col>9</xdr:col>
      <xdr:colOff>904875</xdr:colOff>
      <xdr:row>7</xdr:row>
      <xdr:rowOff>133349</xdr:rowOff>
    </xdr:from>
    <xdr:to>
      <xdr:col>12</xdr:col>
      <xdr:colOff>152400</xdr:colOff>
      <xdr:row>11</xdr:row>
      <xdr:rowOff>152400</xdr:rowOff>
    </xdr:to>
    <xdr:sp macro="" textlink="">
      <xdr:nvSpPr>
        <xdr:cNvPr id="8" name="TextBox 7"/>
        <xdr:cNvSpPr txBox="1"/>
      </xdr:nvSpPr>
      <xdr:spPr>
        <a:xfrm>
          <a:off x="5600700" y="1666874"/>
          <a:ext cx="962025" cy="781051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Highlight Text Containing</a:t>
          </a:r>
          <a:r>
            <a:rPr lang="en-AU" sz="1100" baseline="0"/>
            <a:t> a 'D'</a:t>
          </a:r>
          <a:endParaRPr lang="en-AU" sz="1100"/>
        </a:p>
      </xdr:txBody>
    </xdr:sp>
    <xdr:clientData/>
  </xdr:twoCellAnchor>
  <xdr:twoCellAnchor>
    <xdr:from>
      <xdr:col>12</xdr:col>
      <xdr:colOff>123825</xdr:colOff>
      <xdr:row>12</xdr:row>
      <xdr:rowOff>85724</xdr:rowOff>
    </xdr:from>
    <xdr:to>
      <xdr:col>14</xdr:col>
      <xdr:colOff>114300</xdr:colOff>
      <xdr:row>15</xdr:row>
      <xdr:rowOff>9525</xdr:rowOff>
    </xdr:to>
    <xdr:sp macro="" textlink="">
      <xdr:nvSpPr>
        <xdr:cNvPr id="9" name="TextBox 8"/>
        <xdr:cNvSpPr txBox="1"/>
      </xdr:nvSpPr>
      <xdr:spPr>
        <a:xfrm>
          <a:off x="6353175" y="2571749"/>
          <a:ext cx="762000" cy="495301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Highlight Top 10</a:t>
          </a:r>
        </a:p>
      </xdr:txBody>
    </xdr:sp>
    <xdr:clientData/>
  </xdr:twoCellAnchor>
  <xdr:twoCellAnchor>
    <xdr:from>
      <xdr:col>14</xdr:col>
      <xdr:colOff>95250</xdr:colOff>
      <xdr:row>6</xdr:row>
      <xdr:rowOff>161924</xdr:rowOff>
    </xdr:from>
    <xdr:to>
      <xdr:col>16</xdr:col>
      <xdr:colOff>85725</xdr:colOff>
      <xdr:row>9</xdr:row>
      <xdr:rowOff>85725</xdr:rowOff>
    </xdr:to>
    <xdr:sp macro="" textlink="">
      <xdr:nvSpPr>
        <xdr:cNvPr id="10" name="TextBox 9"/>
        <xdr:cNvSpPr txBox="1"/>
      </xdr:nvSpPr>
      <xdr:spPr>
        <a:xfrm>
          <a:off x="7096125" y="1504949"/>
          <a:ext cx="762000" cy="495301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Highlight &gt;$500</a:t>
          </a:r>
        </a:p>
      </xdr:txBody>
    </xdr:sp>
    <xdr:clientData/>
  </xdr:twoCellAnchor>
  <xdr:twoCellAnchor>
    <xdr:from>
      <xdr:col>16</xdr:col>
      <xdr:colOff>95250</xdr:colOff>
      <xdr:row>10</xdr:row>
      <xdr:rowOff>190499</xdr:rowOff>
    </xdr:from>
    <xdr:to>
      <xdr:col>18</xdr:col>
      <xdr:colOff>85725</xdr:colOff>
      <xdr:row>14</xdr:row>
      <xdr:rowOff>47625</xdr:rowOff>
    </xdr:to>
    <xdr:sp macro="" textlink="">
      <xdr:nvSpPr>
        <xdr:cNvPr id="11" name="TextBox 10"/>
        <xdr:cNvSpPr txBox="1"/>
      </xdr:nvSpPr>
      <xdr:spPr>
        <a:xfrm>
          <a:off x="7867650" y="2295524"/>
          <a:ext cx="762000" cy="619126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Highlight Below Average</a:t>
          </a:r>
        </a:p>
      </xdr:txBody>
    </xdr:sp>
    <xdr:clientData/>
  </xdr:twoCellAnchor>
  <xdr:twoCellAnchor>
    <xdr:from>
      <xdr:col>9</xdr:col>
      <xdr:colOff>9525</xdr:colOff>
      <xdr:row>12</xdr:row>
      <xdr:rowOff>161924</xdr:rowOff>
    </xdr:from>
    <xdr:to>
      <xdr:col>9</xdr:col>
      <xdr:colOff>885825</xdr:colOff>
      <xdr:row>16</xdr:row>
      <xdr:rowOff>180975</xdr:rowOff>
    </xdr:to>
    <xdr:sp macro="" textlink="">
      <xdr:nvSpPr>
        <xdr:cNvPr id="12" name="TextBox 11"/>
        <xdr:cNvSpPr txBox="1"/>
      </xdr:nvSpPr>
      <xdr:spPr>
        <a:xfrm>
          <a:off x="4705350" y="2647949"/>
          <a:ext cx="876300" cy="781051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Highlight Dates Occurring</a:t>
          </a:r>
          <a:r>
            <a:rPr lang="en-AU" sz="1100" baseline="0"/>
            <a:t> This Month</a:t>
          </a:r>
          <a:endParaRPr lang="en-AU" sz="1100"/>
        </a:p>
      </xdr:txBody>
    </xdr:sp>
    <xdr:clientData/>
  </xdr:twoCellAnchor>
  <xdr:twoCellAnchor>
    <xdr:from>
      <xdr:col>18</xdr:col>
      <xdr:colOff>276225</xdr:colOff>
      <xdr:row>0</xdr:row>
      <xdr:rowOff>171450</xdr:rowOff>
    </xdr:from>
    <xdr:to>
      <xdr:col>22</xdr:col>
      <xdr:colOff>342900</xdr:colOff>
      <xdr:row>3</xdr:row>
      <xdr:rowOff>142875</xdr:rowOff>
    </xdr:to>
    <xdr:sp macro="" textlink="">
      <xdr:nvSpPr>
        <xdr:cNvPr id="13" name="Rounded Rectangle 12">
          <a:hlinkClick xmlns:r="http://schemas.openxmlformats.org/officeDocument/2006/relationships" r:id="rId1"/>
        </xdr:cNvPr>
        <xdr:cNvSpPr/>
      </xdr:nvSpPr>
      <xdr:spPr>
        <a:xfrm>
          <a:off x="9001125" y="171450"/>
          <a:ext cx="2505075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  <xdr:twoCellAnchor>
    <xdr:from>
      <xdr:col>1</xdr:col>
      <xdr:colOff>428625</xdr:colOff>
      <xdr:row>36</xdr:row>
      <xdr:rowOff>76199</xdr:rowOff>
    </xdr:from>
    <xdr:to>
      <xdr:col>5</xdr:col>
      <xdr:colOff>333375</xdr:colOff>
      <xdr:row>39</xdr:row>
      <xdr:rowOff>152400</xdr:rowOff>
    </xdr:to>
    <xdr:sp macro="" textlink="">
      <xdr:nvSpPr>
        <xdr:cNvPr id="14" name="TextBox 13"/>
        <xdr:cNvSpPr txBox="1"/>
      </xdr:nvSpPr>
      <xdr:spPr>
        <a:xfrm>
          <a:off x="1352550" y="7134224"/>
          <a:ext cx="1476375" cy="647701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AU" sz="1100"/>
            <a:t>If the value in column F&gt;500</a:t>
          </a:r>
          <a:r>
            <a:rPr lang="en-AU" sz="1100" baseline="0"/>
            <a:t> highlight the whole row of the table</a:t>
          </a:r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</xdr:row>
      <xdr:rowOff>47625</xdr:rowOff>
    </xdr:from>
    <xdr:to>
      <xdr:col>15</xdr:col>
      <xdr:colOff>323850</xdr:colOff>
      <xdr:row>5</xdr:row>
      <xdr:rowOff>28575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382000" y="238125"/>
          <a:ext cx="2505075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9</xdr:row>
      <xdr:rowOff>152400</xdr:rowOff>
    </xdr:from>
    <xdr:to>
      <xdr:col>17</xdr:col>
      <xdr:colOff>238126</xdr:colOff>
      <xdr:row>12</xdr:row>
      <xdr:rowOff>0</xdr:rowOff>
    </xdr:to>
    <xdr:sp macro="" textlink="">
      <xdr:nvSpPr>
        <xdr:cNvPr id="12" name="Curved Down Arrow 11"/>
        <xdr:cNvSpPr/>
      </xdr:nvSpPr>
      <xdr:spPr>
        <a:xfrm>
          <a:off x="10801351" y="1885950"/>
          <a:ext cx="685800" cy="419100"/>
        </a:xfrm>
        <a:prstGeom prst="curved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276225</xdr:colOff>
      <xdr:row>13</xdr:row>
      <xdr:rowOff>28575</xdr:rowOff>
    </xdr:from>
    <xdr:to>
      <xdr:col>18</xdr:col>
      <xdr:colOff>333375</xdr:colOff>
      <xdr:row>15</xdr:row>
      <xdr:rowOff>0</xdr:rowOff>
    </xdr:to>
    <xdr:sp macro="" textlink="">
      <xdr:nvSpPr>
        <xdr:cNvPr id="13" name="Curved Up Arrow 12"/>
        <xdr:cNvSpPr/>
      </xdr:nvSpPr>
      <xdr:spPr>
        <a:xfrm>
          <a:off x="10915650" y="2524125"/>
          <a:ext cx="1276350" cy="352425"/>
        </a:xfrm>
        <a:prstGeom prst="curvedUp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400050</xdr:colOff>
      <xdr:row>5</xdr:row>
      <xdr:rowOff>171450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7924800" y="400050"/>
          <a:ext cx="2505075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112620</xdr:colOff>
      <xdr:row>1</xdr:row>
      <xdr:rowOff>30255</xdr:rowOff>
    </xdr:from>
    <xdr:to>
      <xdr:col>9</xdr:col>
      <xdr:colOff>179294</xdr:colOff>
      <xdr:row>6</xdr:row>
      <xdr:rowOff>11205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698502" y="220755"/>
          <a:ext cx="2487145" cy="9334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133350</xdr:rowOff>
    </xdr:from>
    <xdr:to>
      <xdr:col>8</xdr:col>
      <xdr:colOff>361949</xdr:colOff>
      <xdr:row>5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276600" y="133350"/>
          <a:ext cx="2505074" cy="9334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12</xdr:col>
      <xdr:colOff>66674</xdr:colOff>
      <xdr:row>5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905375" y="190500"/>
          <a:ext cx="2505074" cy="9334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9</xdr:col>
      <xdr:colOff>485775</xdr:colOff>
      <xdr:row>4</xdr:row>
      <xdr:rowOff>161925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638800" y="20002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8</xdr:col>
      <xdr:colOff>542925</xdr:colOff>
      <xdr:row>5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391150" y="400050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476250</xdr:colOff>
      <xdr:row>4</xdr:row>
      <xdr:rowOff>161925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343650" y="20002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76200</xdr:rowOff>
    </xdr:from>
    <xdr:to>
      <xdr:col>7</xdr:col>
      <xdr:colOff>400050</xdr:colOff>
      <xdr:row>21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390525</xdr:colOff>
      <xdr:row>1</xdr:row>
      <xdr:rowOff>76200</xdr:rowOff>
    </xdr:from>
    <xdr:to>
      <xdr:col>18</xdr:col>
      <xdr:colOff>257175</xdr:colOff>
      <xdr:row>5</xdr:row>
      <xdr:rowOff>57150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296275" y="266700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8</xdr:row>
          <xdr:rowOff>180975</xdr:rowOff>
        </xdr:from>
        <xdr:to>
          <xdr:col>14</xdr:col>
          <xdr:colOff>171450</xdr:colOff>
          <xdr:row>17</xdr:row>
          <xdr:rowOff>85725</xdr:rowOff>
        </xdr:to>
        <xdr:pic>
          <xdr:nvPicPr>
            <xdr:cNvPr id="3078" name="Picture 6"/>
            <xdr:cNvPicPr>
              <a:picLocks noChangeAspect="1" noChangeArrowheads="1"/>
              <a:extLst>
                <a:ext uri="{84589F7E-364E-4C9E-8A38-B11213B215E9}">
                  <a14:cameraTool cellRange="$A$8:$H$22" spid="_x0000_s308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943600" y="1752600"/>
              <a:ext cx="2743200" cy="1619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2</xdr:col>
      <xdr:colOff>942975</xdr:colOff>
      <xdr:row>3</xdr:row>
      <xdr:rowOff>76200</xdr:rowOff>
    </xdr:to>
    <xdr:sp macro="" textlink="">
      <xdr:nvSpPr>
        <xdr:cNvPr id="3" name="Round Diagonal Corner Rectangle 2"/>
        <xdr:cNvSpPr/>
      </xdr:nvSpPr>
      <xdr:spPr>
        <a:xfrm>
          <a:off x="266700" y="57150"/>
          <a:ext cx="3895725" cy="590550"/>
        </a:xfrm>
        <a:prstGeom prst="round2Diag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600" b="1">
              <a:solidFill>
                <a:schemeClr val="bg1"/>
              </a:solidFill>
            </a:rPr>
            <a:t>Compound Interest</a:t>
          </a:r>
          <a:r>
            <a:rPr lang="en-AU" sz="1600" b="1" baseline="0">
              <a:solidFill>
                <a:schemeClr val="bg1"/>
              </a:solidFill>
            </a:rPr>
            <a:t> Formula</a:t>
          </a:r>
          <a:endParaRPr lang="en-AU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266700</xdr:colOff>
      <xdr:row>14</xdr:row>
      <xdr:rowOff>57150</xdr:rowOff>
    </xdr:from>
    <xdr:to>
      <xdr:col>2</xdr:col>
      <xdr:colOff>942975</xdr:colOff>
      <xdr:row>17</xdr:row>
      <xdr:rowOff>76200</xdr:rowOff>
    </xdr:to>
    <xdr:sp macro="" textlink="">
      <xdr:nvSpPr>
        <xdr:cNvPr id="4" name="Round Diagonal Corner Rectangle 3"/>
        <xdr:cNvSpPr/>
      </xdr:nvSpPr>
      <xdr:spPr>
        <a:xfrm>
          <a:off x="266700" y="2686050"/>
          <a:ext cx="4476750" cy="590550"/>
        </a:xfrm>
        <a:prstGeom prst="round2Diag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600" b="1">
              <a:solidFill>
                <a:schemeClr val="bg1"/>
              </a:solidFill>
            </a:rPr>
            <a:t>Monthly Saving Plan - FV function</a:t>
          </a:r>
        </a:p>
      </xdr:txBody>
    </xdr:sp>
    <xdr:clientData/>
  </xdr:twoCellAnchor>
  <xdr:twoCellAnchor>
    <xdr:from>
      <xdr:col>4</xdr:col>
      <xdr:colOff>19050</xdr:colOff>
      <xdr:row>0</xdr:row>
      <xdr:rowOff>85725</xdr:rowOff>
    </xdr:from>
    <xdr:to>
      <xdr:col>7</xdr:col>
      <xdr:colOff>28575</xdr:colOff>
      <xdr:row>4</xdr:row>
      <xdr:rowOff>66675</xdr:rowOff>
    </xdr:to>
    <xdr:sp macro="" textlink="">
      <xdr:nvSpPr>
        <xdr:cNvPr id="5" name="Rounded Rectangle 4">
          <a:hlinkClick xmlns:r="http://schemas.openxmlformats.org/officeDocument/2006/relationships" r:id="rId1"/>
        </xdr:cNvPr>
        <xdr:cNvSpPr/>
      </xdr:nvSpPr>
      <xdr:spPr>
        <a:xfrm>
          <a:off x="6086475" y="8572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16</xdr:row>
      <xdr:rowOff>0</xdr:rowOff>
    </xdr:from>
    <xdr:to>
      <xdr:col>8</xdr:col>
      <xdr:colOff>190500</xdr:colOff>
      <xdr:row>17</xdr:row>
      <xdr:rowOff>180975</xdr:rowOff>
    </xdr:to>
    <xdr:sp macro="" textlink="">
      <xdr:nvSpPr>
        <xdr:cNvPr id="2" name="TextBox 1"/>
        <xdr:cNvSpPr txBox="1"/>
      </xdr:nvSpPr>
      <xdr:spPr>
        <a:xfrm>
          <a:off x="3600450" y="2476500"/>
          <a:ext cx="25146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1000">
              <a:latin typeface="Segoe Print" pitchFamily="2" charset="0"/>
            </a:rPr>
            <a:t>number</a:t>
          </a:r>
          <a:r>
            <a:rPr lang="en-AU" sz="1000" baseline="0">
              <a:latin typeface="Segoe Print" pitchFamily="2" charset="0"/>
            </a:rPr>
            <a:t> 1, number 2, number 3.....</a:t>
          </a:r>
          <a:endParaRPr lang="en-AU" sz="1000">
            <a:latin typeface="Segoe Print" pitchFamily="2" charset="0"/>
          </a:endParaRPr>
        </a:p>
      </xdr:txBody>
    </xdr:sp>
    <xdr:clientData/>
  </xdr:twoCellAnchor>
  <xdr:twoCellAnchor>
    <xdr:from>
      <xdr:col>4</xdr:col>
      <xdr:colOff>581025</xdr:colOff>
      <xdr:row>14</xdr:row>
      <xdr:rowOff>180975</xdr:rowOff>
    </xdr:from>
    <xdr:to>
      <xdr:col>5</xdr:col>
      <xdr:colOff>390525</xdr:colOff>
      <xdr:row>16</xdr:row>
      <xdr:rowOff>57150</xdr:rowOff>
    </xdr:to>
    <xdr:cxnSp macro="">
      <xdr:nvCxnSpPr>
        <xdr:cNvPr id="8" name="Straight Arrow Connector 7"/>
        <xdr:cNvCxnSpPr/>
      </xdr:nvCxnSpPr>
      <xdr:spPr>
        <a:xfrm flipV="1">
          <a:off x="4067175" y="2276475"/>
          <a:ext cx="4191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542927</xdr:colOff>
      <xdr:row>14</xdr:row>
      <xdr:rowOff>171452</xdr:rowOff>
    </xdr:from>
    <xdr:to>
      <xdr:col>5</xdr:col>
      <xdr:colOff>590550</xdr:colOff>
      <xdr:row>16</xdr:row>
      <xdr:rowOff>66676</xdr:rowOff>
    </xdr:to>
    <xdr:cxnSp macro="">
      <xdr:nvCxnSpPr>
        <xdr:cNvPr id="10" name="Straight Arrow Connector 9"/>
        <xdr:cNvCxnSpPr/>
      </xdr:nvCxnSpPr>
      <xdr:spPr>
        <a:xfrm rot="5400000" flipH="1" flipV="1">
          <a:off x="4524377" y="2381252"/>
          <a:ext cx="276224" cy="47623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247655</xdr:colOff>
      <xdr:row>15</xdr:row>
      <xdr:rowOff>9529</xdr:rowOff>
    </xdr:from>
    <xdr:to>
      <xdr:col>6</xdr:col>
      <xdr:colOff>466726</xdr:colOff>
      <xdr:row>16</xdr:row>
      <xdr:rowOff>114300</xdr:rowOff>
    </xdr:to>
    <xdr:cxnSp macro="">
      <xdr:nvCxnSpPr>
        <xdr:cNvPr id="12" name="Straight Arrow Connector 11"/>
        <xdr:cNvCxnSpPr/>
      </xdr:nvCxnSpPr>
      <xdr:spPr>
        <a:xfrm rot="16200000" flipV="1">
          <a:off x="4914905" y="2333629"/>
          <a:ext cx="295271" cy="219071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11</xdr:row>
      <xdr:rowOff>104775</xdr:rowOff>
    </xdr:from>
    <xdr:to>
      <xdr:col>6</xdr:col>
      <xdr:colOff>504825</xdr:colOff>
      <xdr:row>13</xdr:row>
      <xdr:rowOff>66675</xdr:rowOff>
    </xdr:to>
    <xdr:sp macro="" textlink="">
      <xdr:nvSpPr>
        <xdr:cNvPr id="17" name="TextBox 16"/>
        <xdr:cNvSpPr txBox="1"/>
      </xdr:nvSpPr>
      <xdr:spPr>
        <a:xfrm>
          <a:off x="3609975" y="2200275"/>
          <a:ext cx="16002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1000">
              <a:latin typeface="Segoe Print" pitchFamily="2" charset="0"/>
            </a:rPr>
            <a:t>the range</a:t>
          </a:r>
          <a:r>
            <a:rPr lang="en-AU" sz="1000" baseline="0">
              <a:latin typeface="Segoe Print" pitchFamily="2" charset="0"/>
            </a:rPr>
            <a:t> of </a:t>
          </a:r>
          <a:r>
            <a:rPr lang="en-AU" sz="1000">
              <a:latin typeface="Segoe Print" pitchFamily="2" charset="0"/>
            </a:rPr>
            <a:t>the</a:t>
          </a:r>
          <a:r>
            <a:rPr lang="en-AU" sz="1000" baseline="0">
              <a:latin typeface="Segoe Print" pitchFamily="2" charset="0"/>
            </a:rPr>
            <a:t> list</a:t>
          </a:r>
          <a:endParaRPr lang="en-AU" sz="1000">
            <a:latin typeface="Segoe Print" pitchFamily="2" charset="0"/>
          </a:endParaRPr>
        </a:p>
      </xdr:txBody>
    </xdr:sp>
    <xdr:clientData/>
  </xdr:twoCellAnchor>
  <xdr:twoCellAnchor>
    <xdr:from>
      <xdr:col>5</xdr:col>
      <xdr:colOff>190502</xdr:colOff>
      <xdr:row>12</xdr:row>
      <xdr:rowOff>161925</xdr:rowOff>
    </xdr:from>
    <xdr:to>
      <xdr:col>5</xdr:col>
      <xdr:colOff>228601</xdr:colOff>
      <xdr:row>14</xdr:row>
      <xdr:rowOff>9524</xdr:rowOff>
    </xdr:to>
    <xdr:cxnSp macro="">
      <xdr:nvCxnSpPr>
        <xdr:cNvPr id="20" name="Straight Arrow Connector 19"/>
        <xdr:cNvCxnSpPr/>
      </xdr:nvCxnSpPr>
      <xdr:spPr>
        <a:xfrm rot="5400000">
          <a:off x="4191002" y="2543175"/>
          <a:ext cx="228599" cy="38099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0</xdr:row>
      <xdr:rowOff>180975</xdr:rowOff>
    </xdr:from>
    <xdr:to>
      <xdr:col>11</xdr:col>
      <xdr:colOff>428625</xdr:colOff>
      <xdr:row>4</xdr:row>
      <xdr:rowOff>161925</xdr:rowOff>
    </xdr:to>
    <xdr:sp macro="" textlink="">
      <xdr:nvSpPr>
        <xdr:cNvPr id="9" name="Rounded Rectangle 8">
          <a:hlinkClick xmlns:r="http://schemas.openxmlformats.org/officeDocument/2006/relationships" r:id="rId1"/>
        </xdr:cNvPr>
        <xdr:cNvSpPr/>
      </xdr:nvSpPr>
      <xdr:spPr>
        <a:xfrm>
          <a:off x="5267325" y="18097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180975</xdr:rowOff>
    </xdr:from>
    <xdr:to>
      <xdr:col>5</xdr:col>
      <xdr:colOff>542924</xdr:colOff>
      <xdr:row>28</xdr:row>
      <xdr:rowOff>38100</xdr:rowOff>
    </xdr:to>
    <xdr:grpSp>
      <xdr:nvGrpSpPr>
        <xdr:cNvPr id="45" name="Group 44"/>
        <xdr:cNvGrpSpPr/>
      </xdr:nvGrpSpPr>
      <xdr:grpSpPr>
        <a:xfrm>
          <a:off x="238125" y="3276600"/>
          <a:ext cx="3352799" cy="2143125"/>
          <a:chOff x="4505325" y="1895475"/>
          <a:chExt cx="3352799" cy="2143125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05325" y="2038350"/>
            <a:ext cx="3086100" cy="1809750"/>
          </a:xfrm>
          <a:prstGeom prst="rect">
            <a:avLst/>
          </a:prstGeom>
          <a:noFill/>
        </xdr:spPr>
      </xdr:pic>
      <xdr:sp macro="" textlink="">
        <xdr:nvSpPr>
          <xdr:cNvPr id="7" name="TextBox 6"/>
          <xdr:cNvSpPr txBox="1"/>
        </xdr:nvSpPr>
        <xdr:spPr>
          <a:xfrm>
            <a:off x="5819775" y="1895475"/>
            <a:ext cx="1628775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n-AU" sz="1100">
                <a:latin typeface="Segoe Print" pitchFamily="2" charset="0"/>
              </a:rPr>
              <a:t>rotation</a:t>
            </a:r>
            <a:r>
              <a:rPr lang="en-AU" sz="1100" baseline="0">
                <a:latin typeface="Segoe Print" pitchFamily="2" charset="0"/>
              </a:rPr>
              <a:t> </a:t>
            </a:r>
            <a:r>
              <a:rPr lang="en-AU" sz="1100">
                <a:latin typeface="Segoe Print" pitchFamily="2" charset="0"/>
              </a:rPr>
              <a:t>handle</a:t>
            </a:r>
          </a:p>
        </xdr:txBody>
      </xdr:sp>
      <xdr:cxnSp macro="">
        <xdr:nvCxnSpPr>
          <xdr:cNvPr id="9" name="Straight Arrow Connector 8"/>
          <xdr:cNvCxnSpPr/>
        </xdr:nvCxnSpPr>
        <xdr:spPr>
          <a:xfrm rot="10800000" flipV="1">
            <a:off x="5857875" y="2133599"/>
            <a:ext cx="304802" cy="12382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/>
          <xdr:cNvSpPr txBox="1"/>
        </xdr:nvSpPr>
        <xdr:spPr>
          <a:xfrm>
            <a:off x="5153025" y="3657600"/>
            <a:ext cx="1628775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n-AU" sz="1100">
                <a:latin typeface="Segoe Print" pitchFamily="2" charset="0"/>
              </a:rPr>
              <a:t>sizing handles</a:t>
            </a:r>
          </a:p>
        </xdr:txBody>
      </xdr:sp>
      <xdr:cxnSp macro="">
        <xdr:nvCxnSpPr>
          <xdr:cNvPr id="16" name="Straight Arrow Connector 15"/>
          <xdr:cNvCxnSpPr/>
        </xdr:nvCxnSpPr>
        <xdr:spPr>
          <a:xfrm rot="16200000" flipV="1">
            <a:off x="5610229" y="3514726"/>
            <a:ext cx="371473" cy="6667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/>
          <xdr:cNvCxnSpPr/>
        </xdr:nvCxnSpPr>
        <xdr:spPr>
          <a:xfrm rot="5400000" flipH="1" flipV="1">
            <a:off x="6329366" y="3490914"/>
            <a:ext cx="361949" cy="104774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6715125" y="2200275"/>
            <a:ext cx="1142999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AU" sz="1100">
                <a:latin typeface="Segoe Print" pitchFamily="2" charset="0"/>
              </a:rPr>
              <a:t>curve handle</a:t>
            </a:r>
          </a:p>
        </xdr:txBody>
      </xdr:sp>
      <xdr:cxnSp macro="">
        <xdr:nvCxnSpPr>
          <xdr:cNvPr id="22" name="Straight Arrow Connector 21"/>
          <xdr:cNvCxnSpPr/>
        </xdr:nvCxnSpPr>
        <xdr:spPr>
          <a:xfrm rot="10800000" flipV="1">
            <a:off x="6505576" y="2400300"/>
            <a:ext cx="276225" cy="123824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76200</xdr:colOff>
      <xdr:row>9</xdr:row>
      <xdr:rowOff>95250</xdr:rowOff>
    </xdr:from>
    <xdr:to>
      <xdr:col>2</xdr:col>
      <xdr:colOff>495300</xdr:colOff>
      <xdr:row>13</xdr:row>
      <xdr:rowOff>47625</xdr:rowOff>
    </xdr:to>
    <xdr:sp macro="" textlink="">
      <xdr:nvSpPr>
        <xdr:cNvPr id="25" name="Round Same Side Corner Rectangle 24"/>
        <xdr:cNvSpPr/>
      </xdr:nvSpPr>
      <xdr:spPr>
        <a:xfrm>
          <a:off x="76200" y="666750"/>
          <a:ext cx="1638300" cy="714375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200" b="1"/>
            <a:t>I will put some</a:t>
          </a:r>
          <a:r>
            <a:rPr lang="en-AU" sz="1200" b="1" baseline="0"/>
            <a:t> text in this shape but  I want it positioned different to how  the shape alows </a:t>
          </a:r>
          <a:endParaRPr lang="en-AU" sz="1200" b="1"/>
        </a:p>
      </xdr:txBody>
    </xdr:sp>
    <xdr:clientData/>
  </xdr:twoCellAnchor>
  <xdr:twoCellAnchor>
    <xdr:from>
      <xdr:col>2</xdr:col>
      <xdr:colOff>552450</xdr:colOff>
      <xdr:row>9</xdr:row>
      <xdr:rowOff>28575</xdr:rowOff>
    </xdr:from>
    <xdr:to>
      <xdr:col>6</xdr:col>
      <xdr:colOff>19049</xdr:colOff>
      <xdr:row>13</xdr:row>
      <xdr:rowOff>47625</xdr:rowOff>
    </xdr:to>
    <xdr:grpSp>
      <xdr:nvGrpSpPr>
        <xdr:cNvPr id="33" name="Group 32"/>
        <xdr:cNvGrpSpPr/>
      </xdr:nvGrpSpPr>
      <xdr:grpSpPr>
        <a:xfrm>
          <a:off x="1771650" y="1790700"/>
          <a:ext cx="1904999" cy="781050"/>
          <a:chOff x="1771650" y="600075"/>
          <a:chExt cx="1904999" cy="781050"/>
        </a:xfrm>
      </xdr:grpSpPr>
      <xdr:sp macro="" textlink="">
        <xdr:nvSpPr>
          <xdr:cNvPr id="4" name="Round Same Side Corner Rectangle 3"/>
          <xdr:cNvSpPr/>
        </xdr:nvSpPr>
        <xdr:spPr>
          <a:xfrm>
            <a:off x="1914525" y="666750"/>
            <a:ext cx="1638300" cy="714375"/>
          </a:xfrm>
          <a:prstGeom prst="round2Same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AU" sz="1100"/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1771650" y="600075"/>
            <a:ext cx="1904999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2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I will put some</a:t>
            </a:r>
            <a:r>
              <a:rPr lang="en-AU" sz="12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 text in 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2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this shape but I want it positioned different to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2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how the shape allows </a:t>
            </a:r>
            <a:endParaRPr lang="en-AU" sz="12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en-AU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104775</xdr:colOff>
      <xdr:row>3</xdr:row>
      <xdr:rowOff>171450</xdr:rowOff>
    </xdr:from>
    <xdr:to>
      <xdr:col>3</xdr:col>
      <xdr:colOff>152400</xdr:colOff>
      <xdr:row>7</xdr:row>
      <xdr:rowOff>19050</xdr:rowOff>
    </xdr:to>
    <xdr:sp macro="" textlink="A3">
      <xdr:nvSpPr>
        <xdr:cNvPr id="43" name="Round Same Side Corner Rectangle 42"/>
        <xdr:cNvSpPr/>
      </xdr:nvSpPr>
      <xdr:spPr>
        <a:xfrm>
          <a:off x="104775" y="361950"/>
          <a:ext cx="1876425" cy="609600"/>
        </a:xfrm>
        <a:prstGeom prst="round2Same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fld id="{2464A967-9023-491B-B95B-81F99400662A}" type="TxLink">
            <a:rPr lang="en-AU" sz="1100"/>
            <a:pPr algn="ctr"/>
            <a:t>This text appears in the shape from cell A1</a:t>
          </a:fld>
          <a:endParaRPr lang="en-AU" sz="1100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11</xdr:col>
      <xdr:colOff>476250</xdr:colOff>
      <xdr:row>7</xdr:row>
      <xdr:rowOff>171450</xdr:rowOff>
    </xdr:to>
    <xdr:sp macro="" textlink="">
      <xdr:nvSpPr>
        <xdr:cNvPr id="48" name="Rounded Rectangle 47">
          <a:hlinkClick xmlns:r="http://schemas.openxmlformats.org/officeDocument/2006/relationships" r:id="rId2"/>
        </xdr:cNvPr>
        <xdr:cNvSpPr/>
      </xdr:nvSpPr>
      <xdr:spPr>
        <a:xfrm>
          <a:off x="4267200" y="381000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  <xdr:twoCellAnchor>
    <xdr:from>
      <xdr:col>6</xdr:col>
      <xdr:colOff>590550</xdr:colOff>
      <xdr:row>11</xdr:row>
      <xdr:rowOff>9525</xdr:rowOff>
    </xdr:from>
    <xdr:to>
      <xdr:col>14</xdr:col>
      <xdr:colOff>285750</xdr:colOff>
      <xdr:row>25</xdr:row>
      <xdr:rowOff>85725</xdr:rowOff>
    </xdr:to>
    <xdr:graphicFrame macro="">
      <xdr:nvGraphicFramePr>
        <xdr:cNvPr id="49" name="Diagram 4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152400</xdr:rowOff>
    </xdr:from>
    <xdr:to>
      <xdr:col>0</xdr:col>
      <xdr:colOff>1266825</xdr:colOff>
      <xdr:row>2</xdr:row>
      <xdr:rowOff>342900</xdr:rowOff>
    </xdr:to>
    <xdr:grpSp>
      <xdr:nvGrpSpPr>
        <xdr:cNvPr id="7" name="Group 6"/>
        <xdr:cNvGrpSpPr/>
      </xdr:nvGrpSpPr>
      <xdr:grpSpPr>
        <a:xfrm>
          <a:off x="28575" y="390525"/>
          <a:ext cx="1238250" cy="381000"/>
          <a:chOff x="38100" y="533400"/>
          <a:chExt cx="1343025" cy="381000"/>
        </a:xfrm>
      </xdr:grpSpPr>
      <xdr:sp macro="" textlink="">
        <xdr:nvSpPr>
          <xdr:cNvPr id="2" name="Right Triangle 1"/>
          <xdr:cNvSpPr/>
        </xdr:nvSpPr>
        <xdr:spPr>
          <a:xfrm>
            <a:off x="38100" y="581025"/>
            <a:ext cx="1343025" cy="333375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AU" sz="1100" b="1"/>
          </a:p>
        </xdr:txBody>
      </xdr:sp>
      <xdr:sp macro="" textlink="">
        <xdr:nvSpPr>
          <xdr:cNvPr id="4" name="Right Triangle 3"/>
          <xdr:cNvSpPr/>
        </xdr:nvSpPr>
        <xdr:spPr>
          <a:xfrm rot="10800000">
            <a:off x="38100" y="571500"/>
            <a:ext cx="1343025" cy="333375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AU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400050" y="533400"/>
            <a:ext cx="89535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n-AU" sz="1100" b="1">
                <a:solidFill>
                  <a:schemeClr val="bg1"/>
                </a:solidFill>
              </a:rPr>
              <a:t>Scorer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38100" y="685800"/>
            <a:ext cx="89535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l"/>
            <a:r>
              <a:rPr lang="en-AU" sz="1100" b="1">
                <a:solidFill>
                  <a:schemeClr val="bg1"/>
                </a:solidFill>
              </a:rPr>
              <a:t>Book</a:t>
            </a:r>
          </a:p>
        </xdr:txBody>
      </xdr:sp>
    </xdr:grpSp>
    <xdr:clientData/>
  </xdr:twoCellAnchor>
  <xdr:twoCellAnchor>
    <xdr:from>
      <xdr:col>12</xdr:col>
      <xdr:colOff>390525</xdr:colOff>
      <xdr:row>0</xdr:row>
      <xdr:rowOff>152400</xdr:rowOff>
    </xdr:from>
    <xdr:to>
      <xdr:col>17</xdr:col>
      <xdr:colOff>257175</xdr:colOff>
      <xdr:row>3</xdr:row>
      <xdr:rowOff>114300</xdr:rowOff>
    </xdr:to>
    <xdr:sp macro="" textlink="">
      <xdr:nvSpPr>
        <xdr:cNvPr id="8" name="Rounded Rectangle 7">
          <a:hlinkClick xmlns:r="http://schemas.openxmlformats.org/officeDocument/2006/relationships" r:id="rId1"/>
        </xdr:cNvPr>
        <xdr:cNvSpPr/>
      </xdr:nvSpPr>
      <xdr:spPr>
        <a:xfrm>
          <a:off x="6257925" y="152400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152400</xdr:rowOff>
    </xdr:from>
    <xdr:to>
      <xdr:col>13</xdr:col>
      <xdr:colOff>485775</xdr:colOff>
      <xdr:row>5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534025" y="39052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15</xdr:row>
      <xdr:rowOff>57150</xdr:rowOff>
    </xdr:from>
    <xdr:to>
      <xdr:col>2</xdr:col>
      <xdr:colOff>1828800</xdr:colOff>
      <xdr:row>19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95300" y="296227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123825</xdr:rowOff>
    </xdr:from>
    <xdr:to>
      <xdr:col>11</xdr:col>
      <xdr:colOff>523875</xdr:colOff>
      <xdr:row>3</xdr:row>
      <xdr:rowOff>200025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172075" y="12382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476250</xdr:colOff>
      <xdr:row>4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257800" y="23812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95250</xdr:rowOff>
    </xdr:from>
    <xdr:to>
      <xdr:col>6</xdr:col>
      <xdr:colOff>485775</xdr:colOff>
      <xdr:row>4</xdr:row>
      <xdr:rowOff>28575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257800" y="95250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28575</xdr:rowOff>
    </xdr:from>
    <xdr:to>
      <xdr:col>15</xdr:col>
      <xdr:colOff>142875</xdr:colOff>
      <xdr:row>2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963025" y="28575"/>
          <a:ext cx="2705100" cy="5334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76200</xdr:rowOff>
    </xdr:from>
    <xdr:to>
      <xdr:col>8</xdr:col>
      <xdr:colOff>133350</xdr:colOff>
      <xdr:row>2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2781300" y="76200"/>
          <a:ext cx="2771775" cy="5334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66675</xdr:rowOff>
    </xdr:from>
    <xdr:to>
      <xdr:col>9</xdr:col>
      <xdr:colOff>571500</xdr:colOff>
      <xdr:row>3</xdr:row>
      <xdr:rowOff>180975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4914900" y="66675"/>
          <a:ext cx="291465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2000" b="1"/>
            <a:t>Click to read tutorial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Training/Training%20Content/Syllabuses%20MOTH/Excel%202007/Dashboards/session_4_appropriate_charts_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Blog_Workboo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propriate Charts"/>
      <sheetName val="Sparklines 2010 Only"/>
      <sheetName val="Win, Loss, Draw Cond Formatting"/>
      <sheetName val="Dynamic Labels"/>
    </sheetNames>
    <sheetDataSet>
      <sheetData sheetId="0"/>
      <sheetData sheetId="1"/>
      <sheetData sheetId="2">
        <row r="247">
          <cell r="B247" t="str">
            <v>Bat Man</v>
          </cell>
          <cell r="C247">
            <v>379</v>
          </cell>
          <cell r="D247">
            <v>432</v>
          </cell>
          <cell r="E247">
            <v>880</v>
          </cell>
          <cell r="F247">
            <v>461</v>
          </cell>
        </row>
        <row r="248">
          <cell r="B248" t="str">
            <v>Ben Ten</v>
          </cell>
          <cell r="C248">
            <v>505</v>
          </cell>
          <cell r="D248">
            <v>470</v>
          </cell>
          <cell r="E248">
            <v>684</v>
          </cell>
          <cell r="F248">
            <v>443</v>
          </cell>
        </row>
        <row r="249">
          <cell r="B249" t="str">
            <v>Bob The Builder</v>
          </cell>
          <cell r="C249">
            <v>328</v>
          </cell>
          <cell r="D249">
            <v>771</v>
          </cell>
          <cell r="E249">
            <v>470</v>
          </cell>
          <cell r="F249">
            <v>719</v>
          </cell>
        </row>
        <row r="250">
          <cell r="B250" t="str">
            <v>Mr Maker</v>
          </cell>
          <cell r="C250">
            <v>209</v>
          </cell>
          <cell r="D250">
            <v>748</v>
          </cell>
          <cell r="E250">
            <v>617</v>
          </cell>
          <cell r="F250">
            <v>840</v>
          </cell>
        </row>
        <row r="251">
          <cell r="B251" t="str">
            <v>Night Garden</v>
          </cell>
          <cell r="C251">
            <v>170</v>
          </cell>
          <cell r="D251">
            <v>727</v>
          </cell>
          <cell r="E251">
            <v>654</v>
          </cell>
          <cell r="F251">
            <v>573</v>
          </cell>
        </row>
        <row r="252">
          <cell r="B252" t="str">
            <v>Spider Man</v>
          </cell>
          <cell r="C252">
            <v>756</v>
          </cell>
          <cell r="D252">
            <v>537</v>
          </cell>
          <cell r="E252">
            <v>490</v>
          </cell>
          <cell r="F252">
            <v>849</v>
          </cell>
        </row>
        <row r="253">
          <cell r="B253" t="str">
            <v>Wiggles</v>
          </cell>
          <cell r="C253">
            <v>336</v>
          </cell>
          <cell r="D253">
            <v>567</v>
          </cell>
          <cell r="E253">
            <v>851</v>
          </cell>
          <cell r="F253">
            <v>504</v>
          </cell>
        </row>
        <row r="269">
          <cell r="I269">
            <v>379</v>
          </cell>
        </row>
        <row r="270">
          <cell r="I270">
            <v>432</v>
          </cell>
        </row>
        <row r="271">
          <cell r="I271">
            <v>880</v>
          </cell>
        </row>
        <row r="272">
          <cell r="I272">
            <v>461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F Sample Data"/>
      <sheetName val="Nested IF's"/>
      <sheetName val="SUMIF_IFS Sample Data"/>
      <sheetName val="COUNTIF_IFS Sample Data"/>
      <sheetName val="VLOOKUP Exact Match"/>
      <sheetName val="VLOOKUP Sorted List"/>
      <sheetName val="HLOOKUP Exact Match"/>
      <sheetName val="HLOOKUP Sorted List"/>
      <sheetName val="Absolute References"/>
      <sheetName val="IFERROR VLOOKUP"/>
      <sheetName val="IF AND OR"/>
      <sheetName val="SUBTOTAL"/>
      <sheetName val="Named Ranges"/>
      <sheetName val="Pivot Tables"/>
      <sheetName val="ROUND"/>
      <sheetName val="Drop Down Lists"/>
      <sheetName val="OFFSET"/>
      <sheetName val="Running Total"/>
      <sheetName val="INDEX &amp; MATCH"/>
      <sheetName val="Dynamic List"/>
      <sheetName val="Tables"/>
      <sheetName val="Excel_Blog_Workboo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I1" t="str">
            <v>Doug</v>
          </cell>
          <cell r="J1" t="str">
            <v>Dave</v>
          </cell>
          <cell r="K1" t="str">
            <v>Brian</v>
          </cell>
          <cell r="L1" t="str">
            <v>Larry</v>
          </cell>
          <cell r="M1" t="str">
            <v>Rob</v>
          </cell>
          <cell r="N1" t="str">
            <v>Morgan</v>
          </cell>
          <cell r="O1" t="str">
            <v>Jones</v>
          </cell>
          <cell r="P1" t="str">
            <v>Gill</v>
          </cell>
        </row>
        <row r="2">
          <cell r="I2">
            <v>0.06</v>
          </cell>
          <cell r="J2">
            <v>0.05</v>
          </cell>
          <cell r="K2">
            <v>0.04</v>
          </cell>
          <cell r="L2">
            <v>0.04</v>
          </cell>
          <cell r="M2">
            <v>0.05</v>
          </cell>
          <cell r="N2">
            <v>0.04</v>
          </cell>
          <cell r="O2">
            <v>0.06</v>
          </cell>
          <cell r="P2">
            <v>0.04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>
            <v>91</v>
          </cell>
        </row>
        <row r="3">
          <cell r="C3">
            <v>87</v>
          </cell>
        </row>
        <row r="4">
          <cell r="C4">
            <v>99</v>
          </cell>
        </row>
        <row r="5">
          <cell r="C5">
            <v>102</v>
          </cell>
        </row>
        <row r="6">
          <cell r="C6">
            <v>125</v>
          </cell>
        </row>
        <row r="7">
          <cell r="C7">
            <v>140</v>
          </cell>
        </row>
        <row r="8">
          <cell r="C8">
            <v>107</v>
          </cell>
        </row>
        <row r="9">
          <cell r="C9">
            <v>133</v>
          </cell>
        </row>
        <row r="10">
          <cell r="C10">
            <v>79</v>
          </cell>
        </row>
        <row r="11">
          <cell r="C11">
            <v>85</v>
          </cell>
        </row>
        <row r="12">
          <cell r="C12">
            <v>91</v>
          </cell>
        </row>
        <row r="13">
          <cell r="C13">
            <v>73</v>
          </cell>
        </row>
        <row r="14">
          <cell r="C14">
            <v>49</v>
          </cell>
        </row>
        <row r="15">
          <cell r="C15">
            <v>50</v>
          </cell>
        </row>
        <row r="16">
          <cell r="C16">
            <v>51</v>
          </cell>
        </row>
        <row r="17">
          <cell r="C17">
            <v>59</v>
          </cell>
        </row>
        <row r="18">
          <cell r="C18">
            <v>57</v>
          </cell>
        </row>
        <row r="19">
          <cell r="C19">
            <v>32</v>
          </cell>
        </row>
        <row r="20">
          <cell r="C20">
            <v>37</v>
          </cell>
        </row>
        <row r="21">
          <cell r="C21">
            <v>44</v>
          </cell>
        </row>
        <row r="22">
          <cell r="C22">
            <v>138</v>
          </cell>
        </row>
        <row r="23">
          <cell r="C23">
            <v>172</v>
          </cell>
        </row>
        <row r="24">
          <cell r="C24">
            <v>206</v>
          </cell>
        </row>
        <row r="25">
          <cell r="C25">
            <v>240</v>
          </cell>
        </row>
        <row r="26">
          <cell r="C26">
            <v>83</v>
          </cell>
        </row>
        <row r="27">
          <cell r="C27">
            <v>95</v>
          </cell>
        </row>
        <row r="28">
          <cell r="C28">
            <v>72</v>
          </cell>
        </row>
        <row r="29">
          <cell r="C29">
            <v>86</v>
          </cell>
        </row>
        <row r="30">
          <cell r="C30">
            <v>87</v>
          </cell>
        </row>
      </sheetData>
      <sheetData sheetId="14" refreshError="1"/>
      <sheetData sheetId="15" refreshError="1"/>
      <sheetData sheetId="16"/>
      <sheetData sheetId="17">
        <row r="1">
          <cell r="A1" t="str">
            <v>Start</v>
          </cell>
        </row>
        <row r="7">
          <cell r="A7" t="str">
            <v>X</v>
          </cell>
        </row>
        <row r="9">
          <cell r="A9" t="str">
            <v>Different OFFSET Examples</v>
          </cell>
        </row>
        <row r="11">
          <cell r="A11" t="str">
            <v>OFFSET reference a single cell =OFFSET(B13,1,2,3,2)</v>
          </cell>
        </row>
        <row r="18">
          <cell r="A18" t="str">
            <v>OFFSET reference a range of cells =OFFSET(B20:B22,0,2,1,1)</v>
          </cell>
        </row>
        <row r="25">
          <cell r="A25" t="str">
            <v>OFFSET reference a range of cells with height &amp; width omitted =OFFSET(B27:B29,4,0)</v>
          </cell>
        </row>
        <row r="35">
          <cell r="A35" t="str">
            <v>OFFSET reference a single cell =OFFSET(D39,-2,-2,1,1)</v>
          </cell>
        </row>
        <row r="42">
          <cell r="A42" t="str">
            <v>Dynamic SUM using OFFSET</v>
          </cell>
        </row>
        <row r="59">
          <cell r="A59" t="str">
            <v>SUM and MAX with OFFSET and MATCH</v>
          </cell>
        </row>
        <row r="61">
          <cell r="A61" t="str">
            <v>Select a Program</v>
          </cell>
        </row>
        <row r="62">
          <cell r="A62" t="str">
            <v>Sum of Viewers</v>
          </cell>
        </row>
        <row r="63">
          <cell r="A63" t="str">
            <v>Highest Viewers</v>
          </cell>
        </row>
        <row r="64">
          <cell r="A64" t="str">
            <v>Lowest Viewers</v>
          </cell>
        </row>
        <row r="76">
          <cell r="A76" t="str">
            <v>SUM COUNT and OFFSET</v>
          </cell>
        </row>
        <row r="78">
          <cell r="A78" t="str">
            <v>Program</v>
          </cell>
        </row>
        <row r="79">
          <cell r="A79" t="str">
            <v>Bat Man</v>
          </cell>
        </row>
        <row r="80">
          <cell r="A80" t="str">
            <v>Ben Ten</v>
          </cell>
        </row>
        <row r="81">
          <cell r="A81" t="str">
            <v>Bob The Builder</v>
          </cell>
        </row>
        <row r="82">
          <cell r="A82" t="str">
            <v>Mr Maker</v>
          </cell>
        </row>
        <row r="83">
          <cell r="A83" t="str">
            <v>Night Garden</v>
          </cell>
        </row>
        <row r="84">
          <cell r="A84" t="str">
            <v>Spider Man</v>
          </cell>
        </row>
        <row r="85">
          <cell r="A85" t="str">
            <v>Wiggles</v>
          </cell>
        </row>
        <row r="86">
          <cell r="A86" t="str">
            <v>Grand Total</v>
          </cell>
        </row>
        <row r="88">
          <cell r="A88" t="str">
            <v>Control Formula in cell G86 =SUM(OFFSET($A$78,1,1,COUNT($B$79:OFFSET($B$86,-1,0,1,1)),4))-F86</v>
          </cell>
        </row>
      </sheetData>
      <sheetData sheetId="18" refreshError="1"/>
      <sheetData sheetId="19" refreshError="1"/>
      <sheetData sheetId="20">
        <row r="4">
          <cell r="A4" t="str">
            <v>Bat Man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28"/>
  <sheetViews>
    <sheetView showGridLines="0" tabSelected="1" workbookViewId="0">
      <selection activeCell="I9" sqref="I9"/>
    </sheetView>
  </sheetViews>
  <sheetFormatPr defaultRowHeight="15" x14ac:dyDescent="0.25"/>
  <cols>
    <col min="1" max="2" width="1.28515625" style="244" customWidth="1"/>
    <col min="3" max="3" width="9.140625" style="244"/>
    <col min="4" max="4" width="28.5703125" style="244" customWidth="1"/>
    <col min="5" max="5" width="10.7109375" style="244" customWidth="1"/>
    <col min="6" max="6" width="9.140625" style="244"/>
    <col min="7" max="7" width="14.85546875" style="244" customWidth="1"/>
    <col min="8" max="8" width="16.85546875" style="244" customWidth="1"/>
    <col min="9" max="16384" width="9.140625" style="244"/>
  </cols>
  <sheetData>
    <row r="1" spans="1:8" ht="51.75" customHeight="1" x14ac:dyDescent="0.25">
      <c r="A1" s="241" t="s">
        <v>466</v>
      </c>
      <c r="B1" s="242"/>
      <c r="C1" s="243"/>
      <c r="D1" s="242"/>
      <c r="E1" s="242"/>
      <c r="F1" s="242"/>
      <c r="G1" s="242"/>
      <c r="H1" s="242"/>
    </row>
    <row r="2" spans="1:8" ht="9" customHeight="1" x14ac:dyDescent="0.25"/>
    <row r="3" spans="1:8" ht="9.75" customHeight="1" x14ac:dyDescent="0.25">
      <c r="C3" s="245"/>
      <c r="D3" s="246"/>
      <c r="E3" s="247"/>
      <c r="F3" s="247"/>
      <c r="G3" s="247"/>
      <c r="H3" s="248"/>
    </row>
    <row r="4" spans="1:8" ht="24.75" customHeight="1" x14ac:dyDescent="0.25">
      <c r="B4" s="249"/>
      <c r="C4" s="250"/>
      <c r="D4" s="251" t="s">
        <v>444</v>
      </c>
      <c r="E4" s="251"/>
      <c r="F4" s="252"/>
      <c r="G4" s="253"/>
      <c r="H4" s="254"/>
    </row>
    <row r="5" spans="1:8" ht="24.75" customHeight="1" x14ac:dyDescent="0.25">
      <c r="B5" s="249"/>
      <c r="C5" s="250"/>
      <c r="D5" s="251" t="s">
        <v>445</v>
      </c>
      <c r="E5" s="251"/>
      <c r="F5" s="252"/>
      <c r="G5" s="253"/>
      <c r="H5" s="254"/>
    </row>
    <row r="6" spans="1:8" ht="24.75" customHeight="1" x14ac:dyDescent="0.25">
      <c r="B6" s="249"/>
      <c r="C6" s="250"/>
      <c r="D6" s="251" t="s">
        <v>446</v>
      </c>
      <c r="E6" s="251"/>
      <c r="F6" s="252"/>
      <c r="G6" s="253"/>
      <c r="H6" s="254"/>
    </row>
    <row r="7" spans="1:8" ht="24.75" customHeight="1" x14ac:dyDescent="0.25">
      <c r="B7" s="249"/>
      <c r="C7" s="250"/>
      <c r="D7" s="251" t="s">
        <v>447</v>
      </c>
      <c r="E7" s="251"/>
      <c r="F7" s="252"/>
      <c r="G7" s="253"/>
      <c r="H7" s="254"/>
    </row>
    <row r="8" spans="1:8" ht="24.75" customHeight="1" x14ac:dyDescent="0.25">
      <c r="B8" s="249"/>
      <c r="C8" s="250"/>
      <c r="D8" s="251" t="s">
        <v>448</v>
      </c>
      <c r="E8" s="251"/>
      <c r="F8" s="252"/>
      <c r="G8" s="253"/>
      <c r="H8" s="254"/>
    </row>
    <row r="9" spans="1:8" ht="24.75" customHeight="1" x14ac:dyDescent="0.25">
      <c r="B9" s="249"/>
      <c r="C9" s="250"/>
      <c r="D9" s="251" t="s">
        <v>449</v>
      </c>
      <c r="E9" s="251"/>
      <c r="F9" s="252"/>
      <c r="G9" s="253"/>
      <c r="H9" s="254"/>
    </row>
    <row r="10" spans="1:8" ht="24.75" customHeight="1" x14ac:dyDescent="0.25">
      <c r="B10" s="249"/>
      <c r="C10" s="250"/>
      <c r="D10" s="251" t="s">
        <v>450</v>
      </c>
      <c r="E10" s="251"/>
      <c r="F10" s="252"/>
      <c r="G10" s="253"/>
      <c r="H10" s="254"/>
    </row>
    <row r="11" spans="1:8" ht="24.75" customHeight="1" x14ac:dyDescent="0.25">
      <c r="B11" s="249"/>
      <c r="C11" s="250"/>
      <c r="D11" s="251" t="s">
        <v>123</v>
      </c>
      <c r="E11" s="251"/>
      <c r="F11" s="252"/>
      <c r="G11" s="253"/>
      <c r="H11" s="254"/>
    </row>
    <row r="12" spans="1:8" ht="24.75" customHeight="1" x14ac:dyDescent="0.25">
      <c r="B12" s="249"/>
      <c r="C12" s="250"/>
      <c r="D12" s="251" t="s">
        <v>451</v>
      </c>
      <c r="E12" s="251"/>
      <c r="F12" s="252"/>
      <c r="G12" s="253"/>
      <c r="H12" s="254"/>
    </row>
    <row r="13" spans="1:8" ht="24.75" customHeight="1" x14ac:dyDescent="0.25">
      <c r="B13" s="249"/>
      <c r="C13" s="250"/>
      <c r="D13" s="251" t="s">
        <v>452</v>
      </c>
      <c r="E13" s="251"/>
      <c r="F13" s="252"/>
      <c r="G13" s="253"/>
      <c r="H13" s="254"/>
    </row>
    <row r="14" spans="1:8" ht="24.75" customHeight="1" x14ac:dyDescent="0.25">
      <c r="B14" s="249"/>
      <c r="C14" s="250"/>
      <c r="D14" s="251" t="s">
        <v>453</v>
      </c>
      <c r="E14" s="251"/>
      <c r="F14" s="252"/>
      <c r="G14" s="253"/>
      <c r="H14" s="254"/>
    </row>
    <row r="15" spans="1:8" ht="24.75" customHeight="1" x14ac:dyDescent="0.25">
      <c r="B15" s="249"/>
      <c r="C15" s="250"/>
      <c r="D15" s="251" t="s">
        <v>454</v>
      </c>
      <c r="E15" s="251"/>
      <c r="F15" s="252"/>
      <c r="G15" s="253"/>
      <c r="H15" s="254"/>
    </row>
    <row r="16" spans="1:8" ht="24.75" customHeight="1" x14ac:dyDescent="0.25">
      <c r="B16" s="249"/>
      <c r="C16" s="250"/>
      <c r="D16" s="251" t="s">
        <v>455</v>
      </c>
      <c r="E16" s="251"/>
      <c r="F16" s="252"/>
      <c r="G16" s="253"/>
      <c r="H16" s="254"/>
    </row>
    <row r="17" spans="2:8" ht="24.75" customHeight="1" x14ac:dyDescent="0.25">
      <c r="B17" s="249"/>
      <c r="C17" s="250"/>
      <c r="D17" s="251" t="s">
        <v>456</v>
      </c>
      <c r="E17" s="251"/>
      <c r="F17" s="252"/>
      <c r="G17" s="253"/>
      <c r="H17" s="254"/>
    </row>
    <row r="18" spans="2:8" ht="24.75" customHeight="1" x14ac:dyDescent="0.25">
      <c r="B18" s="249"/>
      <c r="C18" s="250"/>
      <c r="D18" s="251" t="s">
        <v>457</v>
      </c>
      <c r="E18" s="251"/>
      <c r="F18" s="252"/>
      <c r="G18" s="253"/>
      <c r="H18" s="254"/>
    </row>
    <row r="19" spans="2:8" ht="24.75" customHeight="1" x14ac:dyDescent="0.25">
      <c r="B19" s="249"/>
      <c r="C19" s="250"/>
      <c r="D19" s="251" t="s">
        <v>458</v>
      </c>
      <c r="E19" s="251"/>
      <c r="F19" s="252"/>
      <c r="G19" s="253"/>
      <c r="H19" s="254"/>
    </row>
    <row r="20" spans="2:8" ht="24.75" customHeight="1" x14ac:dyDescent="0.25">
      <c r="B20" s="249"/>
      <c r="C20" s="250"/>
      <c r="D20" s="251" t="s">
        <v>459</v>
      </c>
      <c r="E20" s="251"/>
      <c r="F20" s="252"/>
      <c r="G20" s="253"/>
      <c r="H20" s="254"/>
    </row>
    <row r="21" spans="2:8" ht="24.75" customHeight="1" x14ac:dyDescent="0.25">
      <c r="B21" s="249"/>
      <c r="C21" s="250"/>
      <c r="D21" s="251" t="s">
        <v>460</v>
      </c>
      <c r="E21" s="251"/>
      <c r="F21" s="252"/>
      <c r="G21" s="253"/>
      <c r="H21" s="254"/>
    </row>
    <row r="22" spans="2:8" ht="24.75" customHeight="1" x14ac:dyDescent="0.25">
      <c r="B22" s="249"/>
      <c r="C22" s="250"/>
      <c r="D22" s="251" t="s">
        <v>461</v>
      </c>
      <c r="E22" s="251"/>
      <c r="F22" s="252"/>
      <c r="G22" s="253"/>
      <c r="H22" s="254"/>
    </row>
    <row r="23" spans="2:8" ht="24.75" customHeight="1" x14ac:dyDescent="0.25">
      <c r="B23" s="249"/>
      <c r="C23" s="250"/>
      <c r="D23" s="251" t="s">
        <v>462</v>
      </c>
      <c r="E23" s="251"/>
      <c r="F23" s="252"/>
      <c r="G23" s="253"/>
      <c r="H23" s="254"/>
    </row>
    <row r="24" spans="2:8" ht="24.75" customHeight="1" x14ac:dyDescent="0.25">
      <c r="B24" s="249"/>
      <c r="C24" s="250"/>
      <c r="D24" s="251" t="s">
        <v>463</v>
      </c>
      <c r="E24" s="251"/>
      <c r="F24" s="252"/>
      <c r="G24" s="253"/>
      <c r="H24" s="254"/>
    </row>
    <row r="25" spans="2:8" ht="24.75" customHeight="1" x14ac:dyDescent="0.25">
      <c r="B25" s="249"/>
      <c r="C25" s="250"/>
      <c r="D25" s="251" t="s">
        <v>464</v>
      </c>
      <c r="E25" s="251"/>
      <c r="F25" s="252"/>
      <c r="G25" s="253"/>
      <c r="H25" s="254"/>
    </row>
    <row r="26" spans="2:8" ht="24.75" customHeight="1" x14ac:dyDescent="0.25">
      <c r="B26" s="249"/>
      <c r="C26" s="250"/>
      <c r="D26" s="251" t="s">
        <v>386</v>
      </c>
      <c r="E26" s="251"/>
      <c r="F26" s="252"/>
      <c r="G26" s="253"/>
      <c r="H26" s="254"/>
    </row>
    <row r="27" spans="2:8" ht="24.75" customHeight="1" x14ac:dyDescent="0.25">
      <c r="B27" s="249"/>
      <c r="C27" s="250"/>
      <c r="D27" s="251" t="s">
        <v>465</v>
      </c>
      <c r="E27" s="251"/>
      <c r="F27" s="252"/>
      <c r="G27" s="253"/>
      <c r="H27" s="254"/>
    </row>
    <row r="28" spans="2:8" x14ac:dyDescent="0.25">
      <c r="C28" s="255"/>
      <c r="D28" s="256"/>
      <c r="E28" s="257"/>
      <c r="F28" s="257"/>
      <c r="G28" s="257"/>
      <c r="H28" s="258"/>
    </row>
  </sheetData>
  <hyperlinks>
    <hyperlink ref="D4" location="'Time Calculations'!A1" display="Time Calculations"/>
    <hyperlink ref="D5" location="'Cell Formatting'!A1" display="Cell Formatting"/>
    <hyperlink ref="D6" location="'Conditional Formatting'!A1" display="Conditional Formatting"/>
    <hyperlink ref="D7" location="Filters!A1" display="Filters"/>
    <hyperlink ref="D8" location="'CHOOSE with VLOOKUP'!A1" display="CHOOSE with VLOOKUP"/>
    <hyperlink ref="D9" location="'Insert a Subtotal'!A1" display="Insert a Subtotal"/>
    <hyperlink ref="D10" location="'Group &amp; Outline'!A1" display="Group &amp; Outline"/>
    <hyperlink ref="D11" location="'Text to Columns'!A1" display="Text to Columns"/>
    <hyperlink ref="D12" location="CONCATENATE!A1" display="CONCATENATE"/>
    <hyperlink ref="D13" location="'T Function'!A1" display="T Function"/>
    <hyperlink ref="D14" location="'N Function'!A1" display="N Function"/>
    <hyperlink ref="D15" location="'Camera Tool'!A1" display="Camera Tool"/>
    <hyperlink ref="D16" location="'Compound Interest'!A1" display="Compound Interest"/>
    <hyperlink ref="D17" location="'RAND &amp; RANDBETWEEN'!A1" display="RAND &amp; RANDBETWEEN"/>
    <hyperlink ref="D18" location="'Shapes &amp; Smart Art'!A1" display="Shapes &amp; Smart Art"/>
    <hyperlink ref="D19" location="STDEV!A1" display="STDEV"/>
    <hyperlink ref="D20" location="'MIN &amp; MAX'!A1" display="MIN &amp; MAX"/>
    <hyperlink ref="D21" location="CHOOSE!A1" display="CHOOSE"/>
    <hyperlink ref="D22" location="'CEILING &amp; FLOOR'!A1" display="CEILING &amp; FLOOR"/>
    <hyperlink ref="D23" location="'UPPER &amp; LOWER'!A1" display="UPPER &amp; LOWER"/>
    <hyperlink ref="D24" location="TRIM!A1" display="TRIM"/>
    <hyperlink ref="D25" location="SUMPRODUCT!A1" display="SUMPRODUCT"/>
    <hyperlink ref="D26" location="'Array Formulas'!A1" display="Array Formulas"/>
    <hyperlink ref="D27" location="'VLOOKUP COLUMNS'!A1" display="VLOOKUP COLUMNS"/>
  </hyperlinks>
  <pageMargins left="0.70866141732283472" right="0.70866141732283472" top="0.19685039370078741" bottom="0.35433070866141736" header="0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0"/>
  <sheetViews>
    <sheetView showGridLines="0" workbookViewId="0"/>
  </sheetViews>
  <sheetFormatPr defaultColWidth="9.7109375" defaultRowHeight="17.25" customHeight="1" x14ac:dyDescent="0.25"/>
  <cols>
    <col min="5" max="5" width="18.7109375" customWidth="1"/>
    <col min="6" max="7" width="9.7109375" customWidth="1"/>
    <col min="8" max="8" width="15" customWidth="1"/>
    <col min="9" max="10" width="10.140625" customWidth="1"/>
    <col min="11" max="11" width="11.5703125" customWidth="1"/>
    <col min="12" max="13" width="10.140625" customWidth="1"/>
    <col min="14" max="14" width="11.140625" customWidth="1"/>
  </cols>
  <sheetData>
    <row r="1" spans="1:14" ht="17.25" customHeight="1" thickBot="1" x14ac:dyDescent="0.3">
      <c r="A1" s="2" t="s">
        <v>0</v>
      </c>
      <c r="C1" s="3" t="s">
        <v>1</v>
      </c>
      <c r="E1" s="259" t="s">
        <v>2</v>
      </c>
      <c r="F1" s="259"/>
      <c r="H1" s="20" t="s">
        <v>10</v>
      </c>
      <c r="I1" s="20" t="s">
        <v>11</v>
      </c>
      <c r="J1" s="20" t="s">
        <v>12</v>
      </c>
      <c r="K1" s="20" t="s">
        <v>13</v>
      </c>
      <c r="L1" s="20" t="s">
        <v>14</v>
      </c>
      <c r="M1" s="20" t="s">
        <v>15</v>
      </c>
      <c r="N1" s="20" t="s">
        <v>16</v>
      </c>
    </row>
    <row r="2" spans="1:14" ht="17.25" customHeight="1" thickTop="1" x14ac:dyDescent="0.25">
      <c r="A2" s="4">
        <v>0.22222222222222221</v>
      </c>
      <c r="C2" s="5">
        <v>5.2083333333333333E-4</v>
      </c>
      <c r="E2" s="15" t="s">
        <v>5</v>
      </c>
      <c r="F2" s="14">
        <v>3.4722222222222224E-2</v>
      </c>
      <c r="H2" s="15" t="s">
        <v>6</v>
      </c>
      <c r="I2" s="17">
        <v>0.35416666666666669</v>
      </c>
      <c r="J2" s="17">
        <v>0.35416666666666669</v>
      </c>
      <c r="K2" s="17">
        <v>0.35416666666666669</v>
      </c>
      <c r="L2" s="21">
        <v>0.375</v>
      </c>
      <c r="M2" s="17">
        <v>0.35416666666666669</v>
      </c>
      <c r="N2" s="17"/>
    </row>
    <row r="3" spans="1:14" ht="17.25" customHeight="1" x14ac:dyDescent="0.25">
      <c r="A3" s="6">
        <v>0.50138888888888888</v>
      </c>
      <c r="C3" s="7">
        <v>3.7037037037037035E-4</v>
      </c>
      <c r="E3" s="7" t="s">
        <v>3</v>
      </c>
      <c r="F3" s="12">
        <v>100</v>
      </c>
      <c r="H3" s="7" t="s">
        <v>7</v>
      </c>
      <c r="I3" s="16">
        <v>2.0833333333333332E-2</v>
      </c>
      <c r="J3" s="16">
        <v>4.1666666666666664E-2</v>
      </c>
      <c r="K3" s="16">
        <v>3.125E-2</v>
      </c>
      <c r="L3" s="16">
        <v>4.1666666666666664E-2</v>
      </c>
      <c r="M3" s="16">
        <v>6.25E-2</v>
      </c>
      <c r="N3" s="16"/>
    </row>
    <row r="4" spans="1:14" ht="17.25" customHeight="1" x14ac:dyDescent="0.25">
      <c r="A4" s="4">
        <v>0.84166666666666667</v>
      </c>
      <c r="C4" s="5">
        <v>5.9027777777777778E-4</v>
      </c>
      <c r="E4" s="5" t="s">
        <v>4</v>
      </c>
      <c r="F4" s="13">
        <f>F2*F3*24</f>
        <v>83.333333333333343</v>
      </c>
      <c r="H4" s="5" t="s">
        <v>8</v>
      </c>
      <c r="I4" s="18">
        <v>0.72916666666666663</v>
      </c>
      <c r="J4" s="18">
        <v>0.72916666666666663</v>
      </c>
      <c r="K4" s="18">
        <v>0.72916666666666663</v>
      </c>
      <c r="L4" s="18">
        <v>0.72916666666666663</v>
      </c>
      <c r="M4" s="18">
        <v>0.6875</v>
      </c>
      <c r="N4" s="18"/>
    </row>
    <row r="5" spans="1:14" ht="17.25" customHeight="1" x14ac:dyDescent="0.25">
      <c r="A5" s="6">
        <v>6.458333333333334E-2</v>
      </c>
      <c r="C5" s="7">
        <v>4.9768518518518521E-4</v>
      </c>
      <c r="H5" s="7" t="s">
        <v>9</v>
      </c>
      <c r="I5" s="19">
        <f>I4-I2-I3</f>
        <v>0.35416666666666663</v>
      </c>
      <c r="J5" s="19">
        <f>J4-J2-J3</f>
        <v>0.33333333333333326</v>
      </c>
      <c r="K5" s="19">
        <f>K4-K2-K3</f>
        <v>0.34374999999999994</v>
      </c>
      <c r="L5" s="19">
        <f>L4-L2-L3</f>
        <v>0.31249999999999994</v>
      </c>
      <c r="M5" s="19">
        <f>M4-M2-M3</f>
        <v>0.27083333333333331</v>
      </c>
      <c r="N5" s="19">
        <f>SUM(I5:M5)</f>
        <v>1.614583333333333</v>
      </c>
    </row>
    <row r="6" spans="1:14" ht="17.25" customHeight="1" x14ac:dyDescent="0.25">
      <c r="A6" s="4">
        <v>0.25</v>
      </c>
      <c r="C6" s="5">
        <v>3.2407407407407406E-4</v>
      </c>
    </row>
    <row r="7" spans="1:14" ht="17.25" customHeight="1" thickBot="1" x14ac:dyDescent="0.3">
      <c r="A7" s="8">
        <v>0.20833333333333334</v>
      </c>
      <c r="C7" s="9">
        <v>4.3981481481481481E-4</v>
      </c>
    </row>
    <row r="8" spans="1:14" ht="17.25" customHeight="1" thickTop="1" x14ac:dyDescent="0.25">
      <c r="A8" s="10">
        <f>SUM(A2:A7)</f>
        <v>2.0881944444444445</v>
      </c>
      <c r="C8" s="11">
        <f>SUM(C2:C7)</f>
        <v>2.7430555555555559E-3</v>
      </c>
    </row>
    <row r="10" spans="1:14" ht="17.25" customHeight="1" x14ac:dyDescent="0.25">
      <c r="B10" s="1"/>
      <c r="I10" s="22"/>
    </row>
  </sheetData>
  <mergeCells count="1">
    <mergeCell ref="E1:F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"/>
  <sheetViews>
    <sheetView workbookViewId="0">
      <selection sqref="A1:D1"/>
    </sheetView>
  </sheetViews>
  <sheetFormatPr defaultRowHeight="15" x14ac:dyDescent="0.25"/>
  <cols>
    <col min="1" max="1" width="10" customWidth="1"/>
    <col min="2" max="2" width="19.85546875" bestFit="1" customWidth="1"/>
    <col min="3" max="3" width="25.28515625" customWidth="1"/>
    <col min="4" max="4" width="11.28515625" customWidth="1"/>
    <col min="5" max="5" width="34.42578125" customWidth="1"/>
  </cols>
  <sheetData>
    <row r="1" spans="1:9" ht="21" customHeight="1" x14ac:dyDescent="0.25">
      <c r="A1" s="260" t="s">
        <v>17</v>
      </c>
      <c r="B1" s="260"/>
      <c r="C1" s="260"/>
      <c r="D1" s="260"/>
    </row>
    <row r="3" spans="1:9" ht="21" customHeight="1" x14ac:dyDescent="0.25">
      <c r="A3" s="26" t="s">
        <v>18</v>
      </c>
      <c r="B3" s="26"/>
      <c r="C3" s="26"/>
      <c r="D3" s="26"/>
    </row>
    <row r="5" spans="1:9" ht="21" customHeight="1" x14ac:dyDescent="0.25">
      <c r="A5" s="27" t="s">
        <v>19</v>
      </c>
      <c r="B5" s="27"/>
      <c r="C5" s="27"/>
      <c r="D5" s="27"/>
      <c r="G5" s="23"/>
      <c r="I5" s="23"/>
    </row>
    <row r="8" spans="1:9" ht="19.5" customHeight="1" x14ac:dyDescent="0.25">
      <c r="A8" s="29" t="s">
        <v>30</v>
      </c>
      <c r="B8" s="28" t="s">
        <v>22</v>
      </c>
      <c r="C8" s="28" t="s">
        <v>23</v>
      </c>
      <c r="D8" s="28" t="s">
        <v>24</v>
      </c>
      <c r="E8" s="28" t="s">
        <v>25</v>
      </c>
    </row>
    <row r="9" spans="1:9" ht="6" customHeight="1" x14ac:dyDescent="0.25"/>
    <row r="10" spans="1:9" ht="60.75" customHeight="1" x14ac:dyDescent="0.75">
      <c r="A10" s="30" t="s">
        <v>29</v>
      </c>
      <c r="B10" s="31" t="s">
        <v>21</v>
      </c>
      <c r="C10" s="32" t="s">
        <v>31</v>
      </c>
      <c r="D10" s="33" t="s">
        <v>21</v>
      </c>
      <c r="E10" s="34" t="s">
        <v>26</v>
      </c>
    </row>
    <row r="11" spans="1:9" ht="9" customHeight="1" x14ac:dyDescent="0.25">
      <c r="B11" s="25"/>
      <c r="C11" s="25"/>
      <c r="E11" s="25"/>
    </row>
    <row r="12" spans="1:9" s="24" customFormat="1" ht="60.75" customHeight="1" x14ac:dyDescent="0.75">
      <c r="A12" s="35" t="s">
        <v>28</v>
      </c>
      <c r="B12" s="31" t="s">
        <v>20</v>
      </c>
      <c r="C12" s="32" t="s">
        <v>323</v>
      </c>
      <c r="D12" s="33" t="s">
        <v>20</v>
      </c>
      <c r="E12" s="34" t="s">
        <v>27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2"/>
  <sheetViews>
    <sheetView showGridLines="0" workbookViewId="0">
      <selection activeCell="A2" sqref="A2"/>
    </sheetView>
  </sheetViews>
  <sheetFormatPr defaultRowHeight="15" x14ac:dyDescent="0.25"/>
  <cols>
    <col min="1" max="1" width="13.85546875" style="36" customWidth="1"/>
    <col min="2" max="2" width="10.42578125" customWidth="1"/>
    <col min="3" max="3" width="1.7109375" customWidth="1"/>
    <col min="4" max="4" width="9.140625" style="37"/>
    <col min="5" max="5" width="2.28515625" style="37" customWidth="1"/>
    <col min="6" max="6" width="11.28515625" style="44" customWidth="1"/>
    <col min="7" max="7" width="2.28515625" style="44" customWidth="1"/>
    <col min="8" max="8" width="10.28515625" customWidth="1"/>
    <col min="10" max="10" width="13.85546875" style="36" customWidth="1"/>
    <col min="11" max="11" width="2.7109375" style="36" customWidth="1"/>
    <col min="13" max="13" width="2.42578125" customWidth="1"/>
    <col min="14" max="14" width="9.140625" style="37"/>
    <col min="15" max="15" width="2.42578125" customWidth="1"/>
    <col min="16" max="16" width="9.140625" style="44"/>
    <col min="17" max="17" width="2.42578125" customWidth="1"/>
    <col min="18" max="18" width="9.140625" style="44"/>
  </cols>
  <sheetData>
    <row r="1" spans="1:18" ht="30.75" customHeight="1" x14ac:dyDescent="0.25">
      <c r="A1" s="45" t="s">
        <v>45</v>
      </c>
      <c r="B1" s="46"/>
      <c r="C1" s="46"/>
      <c r="D1" s="46"/>
      <c r="E1" s="46"/>
      <c r="F1" s="47"/>
      <c r="G1" s="47"/>
      <c r="H1" s="46"/>
      <c r="J1" s="45" t="s">
        <v>45</v>
      </c>
      <c r="K1" s="45"/>
      <c r="L1" s="46"/>
      <c r="M1" s="46"/>
      <c r="N1" s="46"/>
      <c r="O1" s="46"/>
      <c r="P1" s="47"/>
      <c r="Q1" s="47"/>
      <c r="R1" s="46"/>
    </row>
    <row r="2" spans="1:18" x14ac:dyDescent="0.25">
      <c r="A2" s="39" t="s">
        <v>32</v>
      </c>
      <c r="B2" s="40" t="s">
        <v>33</v>
      </c>
      <c r="C2" s="40"/>
      <c r="D2" s="41" t="s">
        <v>34</v>
      </c>
      <c r="E2" s="41"/>
      <c r="F2" s="42" t="s">
        <v>43</v>
      </c>
      <c r="G2" s="42"/>
      <c r="H2" s="41" t="s">
        <v>44</v>
      </c>
      <c r="J2" s="39" t="s">
        <v>32</v>
      </c>
      <c r="K2" s="39"/>
      <c r="L2" s="40" t="s">
        <v>33</v>
      </c>
      <c r="M2" s="40"/>
      <c r="N2" s="41" t="s">
        <v>34</v>
      </c>
      <c r="O2" s="40"/>
      <c r="P2" s="42" t="s">
        <v>43</v>
      </c>
      <c r="Q2" s="40"/>
      <c r="R2" s="42" t="s">
        <v>44</v>
      </c>
    </row>
    <row r="3" spans="1:18" x14ac:dyDescent="0.25">
      <c r="A3" s="36">
        <v>40555</v>
      </c>
      <c r="B3" t="s">
        <v>35</v>
      </c>
      <c r="D3" s="37">
        <v>8</v>
      </c>
      <c r="F3" s="43">
        <v>580</v>
      </c>
      <c r="G3" s="43"/>
      <c r="H3" s="38">
        <f>+F3*D3</f>
        <v>4640</v>
      </c>
      <c r="J3" s="36">
        <f ca="1">NOW()</f>
        <v>42171.562066435188</v>
      </c>
      <c r="L3" t="s">
        <v>35</v>
      </c>
      <c r="N3" s="37">
        <v>8</v>
      </c>
      <c r="P3" s="44">
        <v>580</v>
      </c>
      <c r="R3" s="44">
        <v>4640</v>
      </c>
    </row>
    <row r="4" spans="1:18" x14ac:dyDescent="0.25">
      <c r="A4" s="36">
        <v>40500</v>
      </c>
      <c r="B4" t="s">
        <v>36</v>
      </c>
      <c r="D4" s="37">
        <v>6</v>
      </c>
      <c r="F4" s="43">
        <v>388</v>
      </c>
      <c r="G4" s="43"/>
      <c r="H4" s="38">
        <v>2328</v>
      </c>
      <c r="J4" s="36">
        <f ca="1">J3-25</f>
        <v>42146.562066435188</v>
      </c>
      <c r="L4" t="s">
        <v>36</v>
      </c>
      <c r="N4" s="37">
        <v>6</v>
      </c>
      <c r="P4" s="44">
        <v>388</v>
      </c>
      <c r="R4" s="44">
        <v>2328</v>
      </c>
    </row>
    <row r="5" spans="1:18" x14ac:dyDescent="0.25">
      <c r="A5" s="36">
        <v>40462</v>
      </c>
      <c r="B5" t="s">
        <v>37</v>
      </c>
      <c r="D5" s="37">
        <v>10</v>
      </c>
      <c r="F5" s="43">
        <v>385</v>
      </c>
      <c r="G5" s="43"/>
      <c r="H5" s="38">
        <v>3850</v>
      </c>
      <c r="J5" s="36">
        <f ca="1">+J3-11</f>
        <v>42160.562066435188</v>
      </c>
      <c r="L5" t="s">
        <v>37</v>
      </c>
      <c r="N5" s="37">
        <v>10</v>
      </c>
      <c r="P5" s="44">
        <v>385</v>
      </c>
      <c r="R5" s="44">
        <v>3850</v>
      </c>
    </row>
    <row r="6" spans="1:18" x14ac:dyDescent="0.25">
      <c r="A6" s="36">
        <v>40409</v>
      </c>
      <c r="B6" t="s">
        <v>38</v>
      </c>
      <c r="D6" s="37">
        <v>5</v>
      </c>
      <c r="F6" s="43">
        <v>762</v>
      </c>
      <c r="G6" s="43"/>
      <c r="H6" s="38">
        <f>+F6*D6</f>
        <v>3810</v>
      </c>
      <c r="J6" s="36">
        <v>40409</v>
      </c>
      <c r="L6" t="s">
        <v>38</v>
      </c>
      <c r="N6" s="37">
        <v>5</v>
      </c>
      <c r="P6" s="44">
        <v>762</v>
      </c>
      <c r="R6" s="44">
        <v>3810</v>
      </c>
    </row>
    <row r="7" spans="1:18" x14ac:dyDescent="0.25">
      <c r="A7" s="36">
        <v>40352</v>
      </c>
      <c r="B7" t="s">
        <v>37</v>
      </c>
      <c r="D7" s="37">
        <v>3</v>
      </c>
      <c r="F7" s="43">
        <v>771</v>
      </c>
      <c r="G7" s="43"/>
      <c r="H7" s="38">
        <v>2313</v>
      </c>
      <c r="J7" s="36">
        <v>40352</v>
      </c>
      <c r="L7" t="s">
        <v>37</v>
      </c>
      <c r="N7" s="37">
        <v>3</v>
      </c>
      <c r="P7" s="44">
        <v>771</v>
      </c>
      <c r="R7" s="44">
        <v>2313</v>
      </c>
    </row>
    <row r="8" spans="1:18" x14ac:dyDescent="0.25">
      <c r="A8" s="36">
        <v>40325</v>
      </c>
      <c r="B8" t="s">
        <v>39</v>
      </c>
      <c r="D8" s="37">
        <v>5</v>
      </c>
      <c r="F8" s="43">
        <v>313</v>
      </c>
      <c r="G8" s="43"/>
      <c r="H8" s="38">
        <v>1565</v>
      </c>
      <c r="J8" s="36">
        <f ca="1">+J5+2</f>
        <v>42162.562066435188</v>
      </c>
      <c r="L8" t="s">
        <v>39</v>
      </c>
      <c r="N8" s="37">
        <v>5</v>
      </c>
      <c r="P8" s="44">
        <v>313</v>
      </c>
      <c r="R8" s="44">
        <v>1565</v>
      </c>
    </row>
    <row r="9" spans="1:18" x14ac:dyDescent="0.25">
      <c r="A9" s="36">
        <v>40283</v>
      </c>
      <c r="B9" t="s">
        <v>40</v>
      </c>
      <c r="D9" s="37">
        <v>10</v>
      </c>
      <c r="F9" s="43">
        <v>574</v>
      </c>
      <c r="G9" s="43"/>
      <c r="H9" s="38">
        <v>5740</v>
      </c>
      <c r="J9" s="36">
        <v>40283</v>
      </c>
      <c r="L9" t="s">
        <v>40</v>
      </c>
      <c r="N9" s="37">
        <v>10</v>
      </c>
      <c r="P9" s="44">
        <v>574</v>
      </c>
      <c r="R9" s="44">
        <v>5740</v>
      </c>
    </row>
    <row r="10" spans="1:18" x14ac:dyDescent="0.25">
      <c r="A10" s="36">
        <v>40257</v>
      </c>
      <c r="B10" t="s">
        <v>41</v>
      </c>
      <c r="D10" s="37">
        <v>8</v>
      </c>
      <c r="F10" s="43">
        <v>730</v>
      </c>
      <c r="G10" s="43"/>
      <c r="H10" s="38">
        <v>5840</v>
      </c>
      <c r="J10" s="36">
        <v>40257</v>
      </c>
      <c r="L10" t="s">
        <v>41</v>
      </c>
      <c r="N10" s="37">
        <v>8</v>
      </c>
      <c r="P10" s="44">
        <v>730</v>
      </c>
      <c r="R10" s="44">
        <v>5840</v>
      </c>
    </row>
    <row r="11" spans="1:18" x14ac:dyDescent="0.25">
      <c r="A11" s="36">
        <v>40214</v>
      </c>
      <c r="B11" t="s">
        <v>36</v>
      </c>
      <c r="D11" s="37">
        <v>4</v>
      </c>
      <c r="F11" s="43">
        <v>471</v>
      </c>
      <c r="G11" s="43"/>
      <c r="H11" s="38">
        <v>1884</v>
      </c>
      <c r="J11" s="36">
        <v>40214</v>
      </c>
      <c r="L11" t="s">
        <v>36</v>
      </c>
      <c r="N11" s="37">
        <v>4</v>
      </c>
      <c r="P11" s="44">
        <v>471</v>
      </c>
      <c r="R11" s="44">
        <v>1884</v>
      </c>
    </row>
    <row r="12" spans="1:18" x14ac:dyDescent="0.25">
      <c r="A12" s="36">
        <v>40194</v>
      </c>
      <c r="B12" t="s">
        <v>42</v>
      </c>
      <c r="D12" s="37">
        <v>1</v>
      </c>
      <c r="F12" s="43">
        <v>548</v>
      </c>
      <c r="G12" s="43"/>
      <c r="H12" s="38">
        <v>548</v>
      </c>
      <c r="J12" s="36">
        <f ca="1">+J3+3</f>
        <v>42174.562066435188</v>
      </c>
      <c r="L12" t="s">
        <v>42</v>
      </c>
      <c r="N12" s="37">
        <v>1</v>
      </c>
      <c r="P12" s="44">
        <v>548</v>
      </c>
      <c r="R12" s="44">
        <v>548</v>
      </c>
    </row>
    <row r="13" spans="1:18" x14ac:dyDescent="0.25">
      <c r="A13" s="36">
        <v>40189</v>
      </c>
      <c r="B13" t="s">
        <v>39</v>
      </c>
      <c r="D13" s="37">
        <v>6</v>
      </c>
      <c r="F13" s="43">
        <v>688</v>
      </c>
      <c r="G13" s="43"/>
      <c r="H13" s="38">
        <v>4128</v>
      </c>
      <c r="J13" s="36">
        <v>40189</v>
      </c>
      <c r="L13" t="s">
        <v>39</v>
      </c>
      <c r="N13" s="37">
        <v>6</v>
      </c>
      <c r="P13" s="44">
        <v>688</v>
      </c>
      <c r="R13" s="44">
        <v>4128</v>
      </c>
    </row>
    <row r="14" spans="1:18" x14ac:dyDescent="0.25">
      <c r="A14" s="36">
        <v>40131</v>
      </c>
      <c r="B14" t="s">
        <v>41</v>
      </c>
      <c r="D14" s="37">
        <v>8</v>
      </c>
      <c r="F14" s="43">
        <v>580</v>
      </c>
      <c r="G14" s="43"/>
      <c r="H14" s="38">
        <v>4640</v>
      </c>
      <c r="J14" s="36">
        <v>40131</v>
      </c>
      <c r="L14" t="s">
        <v>41</v>
      </c>
      <c r="N14" s="37">
        <v>8</v>
      </c>
      <c r="P14" s="44">
        <v>580</v>
      </c>
      <c r="R14" s="44">
        <v>4640</v>
      </c>
    </row>
    <row r="15" spans="1:18" x14ac:dyDescent="0.25">
      <c r="A15" s="36">
        <v>40129</v>
      </c>
      <c r="B15" t="s">
        <v>42</v>
      </c>
      <c r="D15" s="37">
        <v>5</v>
      </c>
      <c r="F15" s="43">
        <v>425</v>
      </c>
      <c r="G15" s="43"/>
      <c r="H15" s="38">
        <v>2125</v>
      </c>
      <c r="J15" s="36">
        <v>40129</v>
      </c>
      <c r="L15" t="s">
        <v>42</v>
      </c>
      <c r="N15" s="37">
        <v>5</v>
      </c>
      <c r="P15" s="44">
        <v>425</v>
      </c>
      <c r="R15" s="44">
        <v>2125</v>
      </c>
    </row>
    <row r="16" spans="1:18" x14ac:dyDescent="0.25">
      <c r="A16" s="36">
        <v>40120</v>
      </c>
      <c r="B16" t="s">
        <v>35</v>
      </c>
      <c r="D16" s="37">
        <v>1</v>
      </c>
      <c r="F16" s="43">
        <v>639</v>
      </c>
      <c r="G16" s="43"/>
      <c r="H16" s="38">
        <v>639</v>
      </c>
      <c r="J16" s="36">
        <v>40120</v>
      </c>
      <c r="L16" t="s">
        <v>35</v>
      </c>
      <c r="N16" s="37">
        <v>1</v>
      </c>
      <c r="P16" s="44">
        <v>639</v>
      </c>
      <c r="R16" s="44">
        <v>639</v>
      </c>
    </row>
    <row r="17" spans="1:18" x14ac:dyDescent="0.25">
      <c r="A17" s="36">
        <v>40121</v>
      </c>
      <c r="B17" t="s">
        <v>35</v>
      </c>
      <c r="D17" s="37">
        <v>6</v>
      </c>
      <c r="F17" s="43">
        <v>685</v>
      </c>
      <c r="G17" s="43"/>
      <c r="H17" s="38">
        <v>4110</v>
      </c>
      <c r="J17" s="36">
        <v>40121</v>
      </c>
      <c r="L17" t="s">
        <v>35</v>
      </c>
      <c r="N17" s="37">
        <v>6</v>
      </c>
      <c r="P17" s="44">
        <v>685</v>
      </c>
      <c r="R17" s="44">
        <v>4110</v>
      </c>
    </row>
    <row r="18" spans="1:18" x14ac:dyDescent="0.25">
      <c r="A18" s="36">
        <v>40122</v>
      </c>
      <c r="B18" t="s">
        <v>35</v>
      </c>
      <c r="D18" s="37">
        <v>3</v>
      </c>
      <c r="F18" s="43">
        <v>323</v>
      </c>
      <c r="G18" s="43"/>
      <c r="H18" s="38">
        <v>969</v>
      </c>
      <c r="J18" s="36">
        <v>40122</v>
      </c>
      <c r="L18" t="s">
        <v>35</v>
      </c>
      <c r="N18" s="37">
        <v>3</v>
      </c>
      <c r="P18" s="44">
        <v>323</v>
      </c>
      <c r="R18" s="44">
        <v>969</v>
      </c>
    </row>
    <row r="19" spans="1:18" x14ac:dyDescent="0.25">
      <c r="A19" s="36">
        <v>40159</v>
      </c>
      <c r="B19" t="s">
        <v>37</v>
      </c>
      <c r="D19" s="37">
        <v>2</v>
      </c>
      <c r="F19" s="43">
        <v>401</v>
      </c>
      <c r="G19" s="43"/>
      <c r="H19" s="38">
        <v>802</v>
      </c>
      <c r="J19" s="36">
        <v>40159</v>
      </c>
      <c r="L19" t="s">
        <v>37</v>
      </c>
      <c r="N19" s="37">
        <v>2</v>
      </c>
      <c r="P19" s="44">
        <v>401</v>
      </c>
      <c r="R19" s="44">
        <v>802</v>
      </c>
    </row>
    <row r="20" spans="1:18" x14ac:dyDescent="0.25">
      <c r="A20" s="36">
        <v>40203</v>
      </c>
      <c r="B20" t="s">
        <v>37</v>
      </c>
      <c r="D20" s="37">
        <v>10</v>
      </c>
      <c r="F20" s="43">
        <v>342</v>
      </c>
      <c r="G20" s="43"/>
      <c r="H20" s="38">
        <v>3420</v>
      </c>
      <c r="J20" s="36">
        <v>40203</v>
      </c>
      <c r="L20" t="s">
        <v>37</v>
      </c>
      <c r="N20" s="37">
        <v>10</v>
      </c>
      <c r="P20" s="44">
        <v>342</v>
      </c>
      <c r="R20" s="44">
        <v>3420</v>
      </c>
    </row>
    <row r="21" spans="1:18" x14ac:dyDescent="0.25">
      <c r="A21" s="36">
        <v>40256</v>
      </c>
      <c r="B21" t="s">
        <v>37</v>
      </c>
      <c r="D21" s="37">
        <v>5</v>
      </c>
      <c r="F21" s="43">
        <v>712</v>
      </c>
      <c r="G21" s="43"/>
      <c r="H21" s="38">
        <v>3560</v>
      </c>
      <c r="J21" s="36">
        <v>40256</v>
      </c>
      <c r="L21" t="s">
        <v>37</v>
      </c>
      <c r="N21" s="37">
        <v>5</v>
      </c>
      <c r="P21" s="44">
        <v>712</v>
      </c>
      <c r="R21" s="44">
        <v>3560</v>
      </c>
    </row>
    <row r="22" spans="1:18" x14ac:dyDescent="0.25">
      <c r="A22" s="36">
        <v>40301</v>
      </c>
      <c r="B22" t="s">
        <v>37</v>
      </c>
      <c r="D22" s="37">
        <v>4</v>
      </c>
      <c r="F22" s="43">
        <v>409</v>
      </c>
      <c r="G22" s="43"/>
      <c r="H22" s="38">
        <v>1636</v>
      </c>
      <c r="J22" s="36">
        <v>40301</v>
      </c>
      <c r="L22" t="s">
        <v>37</v>
      </c>
      <c r="N22" s="37">
        <v>4</v>
      </c>
      <c r="P22" s="44">
        <v>409</v>
      </c>
      <c r="R22" s="44">
        <v>1636</v>
      </c>
    </row>
    <row r="23" spans="1:18" x14ac:dyDescent="0.25">
      <c r="A23" s="36">
        <v>40322</v>
      </c>
      <c r="B23" t="s">
        <v>37</v>
      </c>
      <c r="D23" s="37">
        <v>9</v>
      </c>
      <c r="F23" s="43">
        <v>432</v>
      </c>
      <c r="G23" s="43"/>
      <c r="H23" s="38">
        <v>3888</v>
      </c>
      <c r="J23" s="36">
        <v>40322</v>
      </c>
      <c r="L23" t="s">
        <v>37</v>
      </c>
      <c r="N23" s="37">
        <v>9</v>
      </c>
      <c r="P23" s="44">
        <v>432</v>
      </c>
      <c r="R23" s="44">
        <v>3888</v>
      </c>
    </row>
    <row r="24" spans="1:18" x14ac:dyDescent="0.25">
      <c r="A24" s="36">
        <v>40331</v>
      </c>
      <c r="B24" t="s">
        <v>40</v>
      </c>
      <c r="D24" s="37">
        <v>10</v>
      </c>
      <c r="F24" s="43">
        <v>663</v>
      </c>
      <c r="G24" s="43"/>
      <c r="H24" s="38">
        <v>6630</v>
      </c>
      <c r="J24" s="36">
        <v>40331</v>
      </c>
      <c r="L24" t="s">
        <v>40</v>
      </c>
      <c r="N24" s="37">
        <v>10</v>
      </c>
      <c r="P24" s="44">
        <v>663</v>
      </c>
      <c r="R24" s="44">
        <v>6630</v>
      </c>
    </row>
    <row r="25" spans="1:18" x14ac:dyDescent="0.25">
      <c r="A25" s="36">
        <v>40332</v>
      </c>
      <c r="B25" t="s">
        <v>39</v>
      </c>
      <c r="D25" s="37">
        <v>8</v>
      </c>
      <c r="F25" s="43">
        <v>475</v>
      </c>
      <c r="G25" s="43"/>
      <c r="H25" s="38">
        <v>3800</v>
      </c>
      <c r="J25" s="36">
        <v>40332</v>
      </c>
      <c r="L25" t="s">
        <v>39</v>
      </c>
      <c r="N25" s="37">
        <v>8</v>
      </c>
      <c r="P25" s="44">
        <v>475</v>
      </c>
      <c r="R25" s="44">
        <v>3800</v>
      </c>
    </row>
    <row r="26" spans="1:18" x14ac:dyDescent="0.25">
      <c r="A26" s="36">
        <v>40382</v>
      </c>
      <c r="B26" t="s">
        <v>40</v>
      </c>
      <c r="D26" s="37">
        <v>3</v>
      </c>
      <c r="F26" s="43">
        <v>535</v>
      </c>
      <c r="G26" s="43"/>
      <c r="H26" s="38">
        <v>1605</v>
      </c>
      <c r="J26" s="36">
        <v>40382</v>
      </c>
      <c r="L26" t="s">
        <v>40</v>
      </c>
      <c r="N26" s="37">
        <v>3</v>
      </c>
      <c r="P26" s="44">
        <v>535</v>
      </c>
      <c r="R26" s="44">
        <v>1605</v>
      </c>
    </row>
    <row r="27" spans="1:18" x14ac:dyDescent="0.25">
      <c r="A27" s="36">
        <v>40391</v>
      </c>
      <c r="B27" t="s">
        <v>41</v>
      </c>
      <c r="D27" s="37">
        <v>3</v>
      </c>
      <c r="F27" s="43">
        <v>663</v>
      </c>
      <c r="G27" s="43"/>
      <c r="H27" s="38">
        <v>1989</v>
      </c>
      <c r="J27" s="36">
        <v>40391</v>
      </c>
      <c r="L27" t="s">
        <v>41</v>
      </c>
      <c r="N27" s="37">
        <v>3</v>
      </c>
      <c r="P27" s="44">
        <v>663</v>
      </c>
      <c r="R27" s="44">
        <v>1989</v>
      </c>
    </row>
    <row r="28" spans="1:18" x14ac:dyDescent="0.25">
      <c r="A28" s="36">
        <v>40424</v>
      </c>
      <c r="B28" t="s">
        <v>41</v>
      </c>
      <c r="D28" s="37">
        <v>5</v>
      </c>
      <c r="F28" s="43">
        <v>608</v>
      </c>
      <c r="G28" s="43"/>
      <c r="H28" s="38">
        <v>3040</v>
      </c>
      <c r="J28" s="36">
        <v>40424</v>
      </c>
      <c r="L28" t="s">
        <v>41</v>
      </c>
      <c r="N28" s="37">
        <v>5</v>
      </c>
      <c r="P28" s="44">
        <v>608</v>
      </c>
      <c r="R28" s="44">
        <v>3040</v>
      </c>
    </row>
    <row r="29" spans="1:18" x14ac:dyDescent="0.25">
      <c r="A29" s="36">
        <v>40438</v>
      </c>
      <c r="B29" t="s">
        <v>39</v>
      </c>
      <c r="D29" s="37">
        <v>6</v>
      </c>
      <c r="F29" s="43">
        <v>460</v>
      </c>
      <c r="G29" s="43"/>
      <c r="H29" s="38">
        <v>2760</v>
      </c>
      <c r="J29" s="36">
        <v>40438</v>
      </c>
      <c r="L29" t="s">
        <v>39</v>
      </c>
      <c r="N29" s="37">
        <v>6</v>
      </c>
      <c r="P29" s="44">
        <v>460</v>
      </c>
      <c r="R29" s="44">
        <v>2760</v>
      </c>
    </row>
    <row r="30" spans="1:18" x14ac:dyDescent="0.25">
      <c r="A30" s="36">
        <v>40463</v>
      </c>
      <c r="B30" t="s">
        <v>37</v>
      </c>
      <c r="D30" s="37">
        <v>4</v>
      </c>
      <c r="F30" s="43">
        <v>612</v>
      </c>
      <c r="G30" s="43"/>
      <c r="H30" s="38">
        <v>2448</v>
      </c>
      <c r="J30" s="36">
        <v>40463</v>
      </c>
      <c r="L30" t="s">
        <v>37</v>
      </c>
      <c r="N30" s="37">
        <v>4</v>
      </c>
      <c r="P30" s="44">
        <v>612</v>
      </c>
      <c r="R30" s="44">
        <v>2448</v>
      </c>
    </row>
    <row r="31" spans="1:18" x14ac:dyDescent="0.25">
      <c r="A31" s="36">
        <v>40506</v>
      </c>
      <c r="B31" t="s">
        <v>40</v>
      </c>
      <c r="D31" s="37">
        <v>3</v>
      </c>
      <c r="F31" s="43">
        <v>741</v>
      </c>
      <c r="G31" s="43"/>
      <c r="H31" s="38">
        <v>2223</v>
      </c>
      <c r="J31" s="36">
        <v>40506</v>
      </c>
      <c r="L31" t="s">
        <v>40</v>
      </c>
      <c r="N31" s="37">
        <v>3</v>
      </c>
      <c r="P31" s="44">
        <v>741</v>
      </c>
      <c r="R31" s="44">
        <v>2223</v>
      </c>
    </row>
    <row r="35" spans="1:8" x14ac:dyDescent="0.25">
      <c r="A35" s="36">
        <v>40331</v>
      </c>
      <c r="B35" t="s">
        <v>40</v>
      </c>
      <c r="D35" s="37">
        <v>10</v>
      </c>
      <c r="F35" s="44">
        <v>663</v>
      </c>
      <c r="H35">
        <v>6630</v>
      </c>
    </row>
    <row r="36" spans="1:8" x14ac:dyDescent="0.25">
      <c r="A36" s="36">
        <v>40332</v>
      </c>
      <c r="B36" t="s">
        <v>39</v>
      </c>
      <c r="D36" s="37">
        <v>8</v>
      </c>
      <c r="F36" s="44">
        <v>475</v>
      </c>
      <c r="H36">
        <v>3800</v>
      </c>
    </row>
    <row r="37" spans="1:8" x14ac:dyDescent="0.25">
      <c r="A37" s="36">
        <v>40382</v>
      </c>
      <c r="B37" t="s">
        <v>40</v>
      </c>
      <c r="D37" s="37">
        <v>3</v>
      </c>
      <c r="F37" s="44">
        <v>535</v>
      </c>
      <c r="H37">
        <v>1605</v>
      </c>
    </row>
    <row r="38" spans="1:8" x14ac:dyDescent="0.25">
      <c r="A38" s="36">
        <v>40391</v>
      </c>
      <c r="B38" t="s">
        <v>41</v>
      </c>
      <c r="D38" s="37">
        <v>3</v>
      </c>
      <c r="F38" s="44">
        <v>495</v>
      </c>
      <c r="H38">
        <f>+D38*F38</f>
        <v>1485</v>
      </c>
    </row>
    <row r="39" spans="1:8" x14ac:dyDescent="0.25">
      <c r="A39" s="36">
        <v>40424</v>
      </c>
      <c r="B39" t="s">
        <v>41</v>
      </c>
      <c r="D39" s="37">
        <v>5</v>
      </c>
      <c r="F39" s="44">
        <v>608</v>
      </c>
      <c r="H39">
        <v>3040</v>
      </c>
    </row>
    <row r="40" spans="1:8" x14ac:dyDescent="0.25">
      <c r="A40" s="36">
        <v>40438</v>
      </c>
      <c r="B40" t="s">
        <v>39</v>
      </c>
      <c r="D40" s="37">
        <v>6</v>
      </c>
      <c r="F40" s="44">
        <v>460</v>
      </c>
      <c r="H40">
        <v>2760</v>
      </c>
    </row>
    <row r="41" spans="1:8" x14ac:dyDescent="0.25">
      <c r="A41" s="36">
        <v>40463</v>
      </c>
      <c r="B41" t="s">
        <v>37</v>
      </c>
      <c r="D41" s="37">
        <v>4</v>
      </c>
      <c r="F41" s="44">
        <v>612</v>
      </c>
      <c r="H41">
        <v>2448</v>
      </c>
    </row>
    <row r="42" spans="1:8" x14ac:dyDescent="0.25">
      <c r="A42" s="36">
        <v>40506</v>
      </c>
      <c r="B42" t="s">
        <v>40</v>
      </c>
      <c r="D42" s="37">
        <v>3</v>
      </c>
      <c r="F42" s="44">
        <v>741</v>
      </c>
      <c r="H42">
        <v>2223</v>
      </c>
    </row>
  </sheetData>
  <autoFilter ref="F2:F31"/>
  <conditionalFormatting sqref="D3:E31">
    <cfRule type="dataBar" priority="12">
      <dataBar>
        <cfvo type="min"/>
        <cfvo type="max"/>
        <color rgb="FF008AEF"/>
      </dataBar>
    </cfRule>
  </conditionalFormatting>
  <conditionalFormatting sqref="F3:G3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31">
    <cfRule type="iconSet" priority="10">
      <iconSet>
        <cfvo type="percent" val="0"/>
        <cfvo type="percent" val="33"/>
        <cfvo type="percent" val="67"/>
      </iconSet>
    </cfRule>
  </conditionalFormatting>
  <conditionalFormatting sqref="L3:L31">
    <cfRule type="containsText" dxfId="11" priority="9" operator="containsText" text="D">
      <formula>NOT(ISERROR(SEARCH("D",L3)))</formula>
    </cfRule>
  </conditionalFormatting>
  <conditionalFormatting sqref="N3:N31">
    <cfRule type="top10" dxfId="10" priority="8" rank="10"/>
  </conditionalFormatting>
  <conditionalFormatting sqref="P3:P31">
    <cfRule type="cellIs" dxfId="9" priority="7" operator="greaterThan">
      <formula>500</formula>
    </cfRule>
  </conditionalFormatting>
  <conditionalFormatting sqref="R3:R31">
    <cfRule type="aboveAverage" dxfId="8" priority="6" aboveAverage="0"/>
  </conditionalFormatting>
  <conditionalFormatting sqref="J3:K31">
    <cfRule type="timePeriod" dxfId="7" priority="5" timePeriod="thisMonth">
      <formula>AND(MONTH(J3)=MONTH(TODAY()),YEAR(J3)=YEAR(TODAY()))</formula>
    </cfRule>
  </conditionalFormatting>
  <conditionalFormatting sqref="A35:H42">
    <cfRule type="expression" dxfId="6" priority="1">
      <formula>$F35&gt;500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1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5703125" style="49" bestFit="1" customWidth="1"/>
    <col min="2" max="2" width="15.5703125" bestFit="1" customWidth="1"/>
    <col min="3" max="3" width="8.28515625" bestFit="1" customWidth="1"/>
    <col min="4" max="4" width="12" customWidth="1"/>
    <col min="5" max="5" width="13" bestFit="1" customWidth="1"/>
    <col min="6" max="6" width="6.140625" bestFit="1" customWidth="1"/>
    <col min="7" max="7" width="9" bestFit="1" customWidth="1"/>
    <col min="8" max="8" width="10.85546875" bestFit="1" customWidth="1"/>
    <col min="9" max="9" width="16" bestFit="1" customWidth="1"/>
    <col min="10" max="10" width="8.7109375" bestFit="1" customWidth="1"/>
    <col min="11" max="11" width="10.7109375" bestFit="1" customWidth="1"/>
  </cols>
  <sheetData>
    <row r="1" spans="1:19" x14ac:dyDescent="0.25">
      <c r="A1" s="49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70</v>
      </c>
      <c r="J1" t="s">
        <v>54</v>
      </c>
      <c r="K1" t="s">
        <v>32</v>
      </c>
    </row>
    <row r="2" spans="1:19" x14ac:dyDescent="0.25">
      <c r="A2" s="49">
        <v>2.2000000000000002</v>
      </c>
      <c r="B2">
        <v>179264</v>
      </c>
      <c r="C2">
        <v>32767</v>
      </c>
      <c r="D2">
        <v>1897144902</v>
      </c>
      <c r="E2">
        <v>206264</v>
      </c>
      <c r="F2" t="s">
        <v>55</v>
      </c>
      <c r="G2" s="48">
        <v>40570.981956018521</v>
      </c>
      <c r="H2">
        <v>1</v>
      </c>
      <c r="I2" t="s">
        <v>57</v>
      </c>
      <c r="J2">
        <v>7</v>
      </c>
      <c r="K2" s="50">
        <f ca="1">TODAY()</f>
        <v>42171</v>
      </c>
    </row>
    <row r="3" spans="1:19" x14ac:dyDescent="0.25">
      <c r="A3" s="49">
        <v>2.2000000000000002</v>
      </c>
      <c r="B3">
        <v>5438633</v>
      </c>
      <c r="C3">
        <v>32767</v>
      </c>
      <c r="D3">
        <v>1897171869</v>
      </c>
      <c r="E3">
        <v>7222425</v>
      </c>
      <c r="F3" t="s">
        <v>55</v>
      </c>
      <c r="G3" s="48">
        <v>40571.000208333331</v>
      </c>
      <c r="H3">
        <v>30</v>
      </c>
      <c r="I3" t="s">
        <v>58</v>
      </c>
      <c r="J3">
        <v>6</v>
      </c>
      <c r="K3" s="50">
        <f ca="1">+K2-2</f>
        <v>42169</v>
      </c>
    </row>
    <row r="4" spans="1:19" x14ac:dyDescent="0.25">
      <c r="A4" s="49">
        <v>2.2000000000000002</v>
      </c>
      <c r="B4">
        <v>13417</v>
      </c>
      <c r="C4">
        <v>32767</v>
      </c>
      <c r="D4">
        <v>1897212191</v>
      </c>
      <c r="E4">
        <v>13417</v>
      </c>
      <c r="F4" t="s">
        <v>55</v>
      </c>
      <c r="G4" s="48">
        <v>40571.028101851851</v>
      </c>
      <c r="H4">
        <v>3</v>
      </c>
      <c r="I4" t="s">
        <v>57</v>
      </c>
      <c r="J4">
        <v>7</v>
      </c>
      <c r="K4" s="50">
        <f t="shared" ref="K4:K67" ca="1" si="0">+K3-2</f>
        <v>42167</v>
      </c>
    </row>
    <row r="5" spans="1:19" x14ac:dyDescent="0.25">
      <c r="A5" s="49">
        <v>2.2200000000000002</v>
      </c>
      <c r="B5">
        <v>8927356</v>
      </c>
      <c r="C5">
        <v>32767</v>
      </c>
      <c r="D5">
        <v>1884185014</v>
      </c>
      <c r="E5">
        <v>8941606</v>
      </c>
      <c r="F5" t="s">
        <v>55</v>
      </c>
      <c r="G5" s="48">
        <v>40560.762291666666</v>
      </c>
      <c r="H5">
        <v>90</v>
      </c>
      <c r="I5" t="s">
        <v>60</v>
      </c>
      <c r="J5">
        <v>6</v>
      </c>
      <c r="K5" s="50">
        <f t="shared" ca="1" si="0"/>
        <v>42165</v>
      </c>
      <c r="S5" s="48"/>
    </row>
    <row r="6" spans="1:19" x14ac:dyDescent="0.25">
      <c r="A6" s="49">
        <v>2.2200000000000002</v>
      </c>
      <c r="B6">
        <v>217955</v>
      </c>
      <c r="C6">
        <v>32767</v>
      </c>
      <c r="D6">
        <v>1884185253</v>
      </c>
      <c r="E6">
        <v>5217955</v>
      </c>
      <c r="F6" t="s">
        <v>55</v>
      </c>
      <c r="G6" s="48">
        <v>40560.762430555558</v>
      </c>
      <c r="H6">
        <v>90</v>
      </c>
      <c r="I6" t="s">
        <v>60</v>
      </c>
      <c r="J6">
        <v>6</v>
      </c>
      <c r="K6" s="50">
        <f t="shared" ca="1" si="0"/>
        <v>42163</v>
      </c>
      <c r="S6" s="48"/>
    </row>
    <row r="7" spans="1:19" x14ac:dyDescent="0.25">
      <c r="A7" s="49">
        <v>2.2200000000000002</v>
      </c>
      <c r="B7">
        <v>1897642</v>
      </c>
      <c r="C7">
        <v>32767</v>
      </c>
      <c r="D7">
        <v>1884185453</v>
      </c>
      <c r="E7">
        <v>6097718</v>
      </c>
      <c r="F7" t="s">
        <v>55</v>
      </c>
      <c r="G7" s="48">
        <v>40560.762546296297</v>
      </c>
      <c r="H7">
        <v>90</v>
      </c>
      <c r="I7" t="s">
        <v>60</v>
      </c>
      <c r="J7">
        <v>6</v>
      </c>
      <c r="K7" s="50">
        <f t="shared" ca="1" si="0"/>
        <v>42161</v>
      </c>
      <c r="S7" s="48"/>
    </row>
    <row r="8" spans="1:19" x14ac:dyDescent="0.25">
      <c r="A8" s="49">
        <v>2.2200000000000002</v>
      </c>
      <c r="B8">
        <v>1789413</v>
      </c>
      <c r="C8">
        <v>32767</v>
      </c>
      <c r="D8">
        <v>1884185737</v>
      </c>
      <c r="E8">
        <v>4205813</v>
      </c>
      <c r="F8" t="s">
        <v>55</v>
      </c>
      <c r="G8" s="48">
        <v>40560.762719907405</v>
      </c>
      <c r="H8">
        <v>90</v>
      </c>
      <c r="I8" t="s">
        <v>60</v>
      </c>
      <c r="J8">
        <v>6</v>
      </c>
      <c r="K8" s="50">
        <f t="shared" ca="1" si="0"/>
        <v>42159</v>
      </c>
      <c r="S8" s="48"/>
    </row>
    <row r="9" spans="1:19" x14ac:dyDescent="0.25">
      <c r="A9" s="49">
        <v>2.2999999999999998</v>
      </c>
      <c r="B9">
        <v>94345</v>
      </c>
      <c r="C9">
        <v>32767</v>
      </c>
      <c r="D9">
        <v>1897003819</v>
      </c>
      <c r="E9">
        <v>149036</v>
      </c>
      <c r="F9" t="s">
        <v>55</v>
      </c>
      <c r="G9" s="48">
        <v>40570.90415509259</v>
      </c>
      <c r="H9">
        <v>1</v>
      </c>
      <c r="I9" t="s">
        <v>61</v>
      </c>
      <c r="J9">
        <v>3</v>
      </c>
      <c r="K9" s="50">
        <f t="shared" ca="1" si="0"/>
        <v>42157</v>
      </c>
      <c r="S9" s="48"/>
    </row>
    <row r="10" spans="1:19" x14ac:dyDescent="0.25">
      <c r="A10" s="49">
        <v>2.2999999999999998</v>
      </c>
      <c r="B10">
        <v>2831</v>
      </c>
      <c r="C10">
        <v>32767</v>
      </c>
      <c r="D10">
        <v>1897074264</v>
      </c>
      <c r="E10">
        <v>2831</v>
      </c>
      <c r="F10" t="s">
        <v>55</v>
      </c>
      <c r="G10" s="48">
        <v>40570.941874999997</v>
      </c>
      <c r="H10">
        <v>1</v>
      </c>
      <c r="I10" t="s">
        <v>62</v>
      </c>
      <c r="J10">
        <v>3</v>
      </c>
      <c r="K10" s="50">
        <f t="shared" ca="1" si="0"/>
        <v>42155</v>
      </c>
      <c r="S10" s="48"/>
    </row>
    <row r="11" spans="1:19" x14ac:dyDescent="0.25">
      <c r="A11" s="49">
        <v>2.2999999999999998</v>
      </c>
      <c r="B11">
        <v>6260241</v>
      </c>
      <c r="C11">
        <v>32767</v>
      </c>
      <c r="D11">
        <v>1897179851</v>
      </c>
      <c r="E11">
        <v>6260241</v>
      </c>
      <c r="F11" t="s">
        <v>55</v>
      </c>
      <c r="G11" s="48">
        <v>40571.005439814813</v>
      </c>
      <c r="H11">
        <v>7</v>
      </c>
      <c r="I11" t="s">
        <v>61</v>
      </c>
      <c r="J11">
        <v>3</v>
      </c>
      <c r="K11" s="50">
        <f t="shared" ca="1" si="0"/>
        <v>42153</v>
      </c>
      <c r="S11" s="48"/>
    </row>
    <row r="12" spans="1:19" x14ac:dyDescent="0.25">
      <c r="A12" s="49">
        <v>2.31</v>
      </c>
      <c r="B12">
        <v>2577</v>
      </c>
      <c r="C12">
        <v>32767</v>
      </c>
      <c r="D12">
        <v>1897102842</v>
      </c>
      <c r="E12">
        <v>2577</v>
      </c>
      <c r="F12" t="s">
        <v>55</v>
      </c>
      <c r="G12" s="48">
        <v>40570.957280092596</v>
      </c>
      <c r="H12">
        <v>1</v>
      </c>
      <c r="I12" t="s">
        <v>62</v>
      </c>
      <c r="J12">
        <v>3</v>
      </c>
      <c r="K12" s="50">
        <f t="shared" ca="1" si="0"/>
        <v>42151</v>
      </c>
      <c r="S12" s="48"/>
    </row>
    <row r="13" spans="1:19" x14ac:dyDescent="0.25">
      <c r="A13" s="49">
        <v>2.39</v>
      </c>
      <c r="B13">
        <v>6729</v>
      </c>
      <c r="C13">
        <v>32767</v>
      </c>
      <c r="D13">
        <v>1897046767</v>
      </c>
      <c r="E13">
        <v>6729</v>
      </c>
      <c r="F13" t="s">
        <v>55</v>
      </c>
      <c r="G13" s="48">
        <v>40570.926944444444</v>
      </c>
      <c r="H13">
        <v>1</v>
      </c>
      <c r="I13" t="s">
        <v>62</v>
      </c>
      <c r="J13">
        <v>3</v>
      </c>
      <c r="K13" s="50">
        <f t="shared" ca="1" si="0"/>
        <v>42149</v>
      </c>
      <c r="S13" s="48"/>
    </row>
    <row r="14" spans="1:19" x14ac:dyDescent="0.25">
      <c r="A14" s="49">
        <v>2.4</v>
      </c>
      <c r="B14">
        <v>25764</v>
      </c>
      <c r="C14">
        <v>32767</v>
      </c>
      <c r="D14">
        <v>1887025464</v>
      </c>
      <c r="E14">
        <v>503183</v>
      </c>
      <c r="F14" t="s">
        <v>55</v>
      </c>
      <c r="G14" s="48">
        <v>40563.703935185185</v>
      </c>
      <c r="H14">
        <v>7</v>
      </c>
      <c r="I14" t="s">
        <v>57</v>
      </c>
      <c r="J14">
        <v>7</v>
      </c>
      <c r="K14" s="50">
        <f t="shared" ca="1" si="0"/>
        <v>42147</v>
      </c>
      <c r="S14" s="48"/>
    </row>
    <row r="15" spans="1:19" x14ac:dyDescent="0.25">
      <c r="A15" s="49">
        <v>2.4300000000000002</v>
      </c>
      <c r="B15">
        <v>181004</v>
      </c>
      <c r="C15">
        <v>32767</v>
      </c>
      <c r="D15">
        <v>1896479899</v>
      </c>
      <c r="E15">
        <v>194004</v>
      </c>
      <c r="F15" t="s">
        <v>55</v>
      </c>
      <c r="G15" s="48">
        <v>40570.578865740739</v>
      </c>
      <c r="H15">
        <v>7</v>
      </c>
      <c r="I15" t="s">
        <v>61</v>
      </c>
      <c r="J15">
        <v>3</v>
      </c>
      <c r="K15" s="50">
        <f t="shared" ca="1" si="0"/>
        <v>42145</v>
      </c>
      <c r="S15" s="48"/>
    </row>
    <row r="16" spans="1:19" x14ac:dyDescent="0.25">
      <c r="A16" s="49">
        <v>2.44</v>
      </c>
      <c r="B16">
        <v>2959046</v>
      </c>
      <c r="C16">
        <v>32767</v>
      </c>
      <c r="D16">
        <v>1892906924</v>
      </c>
      <c r="E16">
        <v>7146820</v>
      </c>
      <c r="F16" t="s">
        <v>55</v>
      </c>
      <c r="G16" s="48">
        <v>40567.781956018516</v>
      </c>
      <c r="H16">
        <v>90</v>
      </c>
      <c r="I16" t="s">
        <v>63</v>
      </c>
      <c r="J16">
        <v>4</v>
      </c>
      <c r="K16" s="50">
        <f t="shared" ca="1" si="0"/>
        <v>42143</v>
      </c>
      <c r="S16" s="48"/>
    </row>
    <row r="17" spans="1:19" x14ac:dyDescent="0.25">
      <c r="A17" s="49">
        <v>2.4500000000000002</v>
      </c>
      <c r="B17">
        <v>42998</v>
      </c>
      <c r="C17">
        <v>32767</v>
      </c>
      <c r="D17">
        <v>1873211811</v>
      </c>
      <c r="E17">
        <v>42999</v>
      </c>
      <c r="F17" t="s">
        <v>55</v>
      </c>
      <c r="G17" s="48">
        <v>40552.354004629633</v>
      </c>
      <c r="H17">
        <v>90</v>
      </c>
      <c r="I17" t="s">
        <v>63</v>
      </c>
      <c r="J17">
        <v>4</v>
      </c>
      <c r="K17" s="50">
        <f t="shared" ca="1" si="0"/>
        <v>42141</v>
      </c>
      <c r="S17" s="48"/>
    </row>
    <row r="18" spans="1:19" x14ac:dyDescent="0.25">
      <c r="A18" s="49">
        <v>2.4700000000000002</v>
      </c>
      <c r="B18">
        <v>2337485</v>
      </c>
      <c r="C18">
        <v>32767</v>
      </c>
      <c r="D18">
        <v>1897141389</v>
      </c>
      <c r="E18">
        <v>2337485</v>
      </c>
      <c r="F18" t="s">
        <v>55</v>
      </c>
      <c r="G18" s="48">
        <v>40570.979745370372</v>
      </c>
      <c r="H18">
        <v>90</v>
      </c>
      <c r="I18" t="s">
        <v>64</v>
      </c>
      <c r="J18">
        <v>2</v>
      </c>
      <c r="K18" s="50">
        <f t="shared" ca="1" si="0"/>
        <v>42139</v>
      </c>
      <c r="S18" s="48"/>
    </row>
    <row r="19" spans="1:19" x14ac:dyDescent="0.25">
      <c r="A19" s="49">
        <v>2.48</v>
      </c>
      <c r="B19">
        <v>1053872</v>
      </c>
      <c r="C19">
        <v>32767</v>
      </c>
      <c r="D19">
        <v>1896242798</v>
      </c>
      <c r="E19">
        <v>1054804</v>
      </c>
      <c r="F19" t="s">
        <v>55</v>
      </c>
      <c r="G19" s="48">
        <v>40570.203634259262</v>
      </c>
      <c r="H19">
        <v>1</v>
      </c>
      <c r="I19" t="s">
        <v>65</v>
      </c>
      <c r="J19">
        <v>3</v>
      </c>
      <c r="K19" s="50">
        <f t="shared" ca="1" si="0"/>
        <v>42137</v>
      </c>
      <c r="S19" s="48"/>
    </row>
    <row r="20" spans="1:19" x14ac:dyDescent="0.25">
      <c r="A20" s="49">
        <v>2.48</v>
      </c>
      <c r="B20">
        <v>36901042</v>
      </c>
      <c r="C20">
        <v>32767</v>
      </c>
      <c r="D20">
        <v>1896732441</v>
      </c>
      <c r="E20">
        <v>51901042</v>
      </c>
      <c r="F20" t="s">
        <v>55</v>
      </c>
      <c r="G20" s="48">
        <v>40570.756979166668</v>
      </c>
      <c r="H20">
        <v>90</v>
      </c>
      <c r="I20" t="s">
        <v>64</v>
      </c>
      <c r="J20">
        <v>2</v>
      </c>
      <c r="K20" s="50">
        <f t="shared" ca="1" si="0"/>
        <v>42135</v>
      </c>
      <c r="S20" s="48"/>
    </row>
    <row r="21" spans="1:19" x14ac:dyDescent="0.25">
      <c r="A21" s="49">
        <v>2.4900000000000002</v>
      </c>
      <c r="B21">
        <v>1684811</v>
      </c>
      <c r="C21">
        <v>32767</v>
      </c>
      <c r="D21">
        <v>1890980091</v>
      </c>
      <c r="E21">
        <v>1684826</v>
      </c>
      <c r="F21" t="s">
        <v>55</v>
      </c>
      <c r="G21" s="48">
        <v>40566.538773148146</v>
      </c>
      <c r="H21">
        <v>90</v>
      </c>
      <c r="I21" t="s">
        <v>62</v>
      </c>
      <c r="J21">
        <v>3</v>
      </c>
      <c r="K21" s="50">
        <f t="shared" ca="1" si="0"/>
        <v>42133</v>
      </c>
      <c r="S21" s="48"/>
    </row>
    <row r="22" spans="1:19" x14ac:dyDescent="0.25">
      <c r="A22" s="49">
        <v>2.5</v>
      </c>
      <c r="B22">
        <v>10000000</v>
      </c>
      <c r="C22">
        <v>32767</v>
      </c>
      <c r="D22">
        <v>1790167893</v>
      </c>
      <c r="E22">
        <v>10000000</v>
      </c>
      <c r="F22" t="s">
        <v>55</v>
      </c>
      <c r="G22" s="48">
        <v>40482.279432870368</v>
      </c>
      <c r="H22">
        <v>90</v>
      </c>
      <c r="I22" t="s">
        <v>66</v>
      </c>
      <c r="J22">
        <v>7</v>
      </c>
      <c r="K22" s="50">
        <f t="shared" ca="1" si="0"/>
        <v>42131</v>
      </c>
      <c r="S22" s="48"/>
    </row>
    <row r="23" spans="1:19" x14ac:dyDescent="0.25">
      <c r="A23" s="49">
        <v>2.5</v>
      </c>
      <c r="B23">
        <v>12704500</v>
      </c>
      <c r="C23">
        <v>32767</v>
      </c>
      <c r="D23">
        <v>1818033126</v>
      </c>
      <c r="E23">
        <v>20000000</v>
      </c>
      <c r="F23" t="s">
        <v>55</v>
      </c>
      <c r="G23" s="48">
        <v>40508.525613425925</v>
      </c>
      <c r="H23">
        <v>90</v>
      </c>
      <c r="I23" t="s">
        <v>62</v>
      </c>
      <c r="J23">
        <v>3</v>
      </c>
      <c r="K23" s="50">
        <f t="shared" ca="1" si="0"/>
        <v>42129</v>
      </c>
      <c r="S23" s="48"/>
    </row>
    <row r="24" spans="1:19" x14ac:dyDescent="0.25">
      <c r="A24" s="49">
        <v>2.5</v>
      </c>
      <c r="B24">
        <v>14469142</v>
      </c>
      <c r="C24">
        <v>32767</v>
      </c>
      <c r="D24">
        <v>1838369959</v>
      </c>
      <c r="E24">
        <v>20000000</v>
      </c>
      <c r="F24" t="s">
        <v>55</v>
      </c>
      <c r="G24" s="48">
        <v>40525.312349537038</v>
      </c>
      <c r="H24">
        <v>90</v>
      </c>
      <c r="I24" t="s">
        <v>67</v>
      </c>
      <c r="J24">
        <v>5</v>
      </c>
      <c r="K24" s="50">
        <f t="shared" ca="1" si="0"/>
        <v>42127</v>
      </c>
      <c r="S24" s="48"/>
    </row>
    <row r="25" spans="1:19" x14ac:dyDescent="0.25">
      <c r="A25" s="49">
        <v>2.5</v>
      </c>
      <c r="B25">
        <v>103928767</v>
      </c>
      <c r="C25">
        <v>32767</v>
      </c>
      <c r="D25">
        <v>1825710429</v>
      </c>
      <c r="E25">
        <v>2000000000</v>
      </c>
      <c r="F25" t="s">
        <v>55</v>
      </c>
      <c r="G25" s="48">
        <v>40553.041145833333</v>
      </c>
      <c r="H25">
        <v>90</v>
      </c>
      <c r="I25" t="s">
        <v>68</v>
      </c>
      <c r="J25">
        <v>4</v>
      </c>
      <c r="K25" s="50">
        <f t="shared" ca="1" si="0"/>
        <v>42125</v>
      </c>
      <c r="S25" s="48"/>
    </row>
    <row r="26" spans="1:19" x14ac:dyDescent="0.25">
      <c r="A26" s="49">
        <v>2.5</v>
      </c>
      <c r="B26">
        <v>14006933</v>
      </c>
      <c r="C26">
        <v>32767</v>
      </c>
      <c r="D26">
        <v>1880676219</v>
      </c>
      <c r="E26">
        <v>14006933</v>
      </c>
      <c r="F26" t="s">
        <v>55</v>
      </c>
      <c r="G26" s="48">
        <v>40558.241249999999</v>
      </c>
      <c r="H26">
        <v>30</v>
      </c>
      <c r="I26" t="s">
        <v>69</v>
      </c>
      <c r="J26">
        <v>6</v>
      </c>
      <c r="K26" s="50">
        <f t="shared" ca="1" si="0"/>
        <v>42123</v>
      </c>
      <c r="S26" s="48"/>
    </row>
    <row r="27" spans="1:19" x14ac:dyDescent="0.25">
      <c r="A27" s="49">
        <v>2.5</v>
      </c>
      <c r="B27">
        <v>732893</v>
      </c>
      <c r="C27">
        <v>32767</v>
      </c>
      <c r="D27">
        <v>1886191973</v>
      </c>
      <c r="E27">
        <v>2233793</v>
      </c>
      <c r="F27" t="s">
        <v>55</v>
      </c>
      <c r="G27" s="48">
        <v>40562.88554398148</v>
      </c>
      <c r="H27">
        <v>90</v>
      </c>
      <c r="I27" t="s">
        <v>57</v>
      </c>
      <c r="J27">
        <v>1</v>
      </c>
      <c r="K27" s="50">
        <f t="shared" ca="1" si="0"/>
        <v>42121</v>
      </c>
      <c r="S27" s="48"/>
    </row>
    <row r="28" spans="1:19" x14ac:dyDescent="0.25">
      <c r="A28" s="49">
        <v>2.5</v>
      </c>
      <c r="B28">
        <v>32493531</v>
      </c>
      <c r="C28">
        <v>32767</v>
      </c>
      <c r="D28">
        <v>1888461748</v>
      </c>
      <c r="E28">
        <v>38503531</v>
      </c>
      <c r="F28" t="s">
        <v>55</v>
      </c>
      <c r="G28" s="48">
        <v>40564.866793981484</v>
      </c>
      <c r="H28">
        <v>90</v>
      </c>
      <c r="I28" t="s">
        <v>58</v>
      </c>
      <c r="J28">
        <v>6</v>
      </c>
      <c r="K28" s="50">
        <f t="shared" ca="1" si="0"/>
        <v>42119</v>
      </c>
      <c r="S28" s="48"/>
    </row>
    <row r="29" spans="1:19" x14ac:dyDescent="0.25">
      <c r="A29" s="49">
        <v>2.5</v>
      </c>
      <c r="B29">
        <v>303318</v>
      </c>
      <c r="C29">
        <v>32767</v>
      </c>
      <c r="D29">
        <v>1893783042</v>
      </c>
      <c r="E29">
        <v>303318</v>
      </c>
      <c r="F29" t="s">
        <v>55</v>
      </c>
      <c r="G29" s="48">
        <v>40568.382511574076</v>
      </c>
      <c r="H29">
        <v>14</v>
      </c>
      <c r="I29" t="s">
        <v>59</v>
      </c>
      <c r="J29">
        <v>5</v>
      </c>
      <c r="K29" s="50">
        <f t="shared" ca="1" si="0"/>
        <v>42117</v>
      </c>
      <c r="S29" s="48"/>
    </row>
    <row r="30" spans="1:19" x14ac:dyDescent="0.25">
      <c r="A30" s="49">
        <v>2.5</v>
      </c>
      <c r="B30">
        <v>368169</v>
      </c>
      <c r="C30">
        <v>32767</v>
      </c>
      <c r="D30">
        <v>1895003519</v>
      </c>
      <c r="E30">
        <v>368169</v>
      </c>
      <c r="F30" t="s">
        <v>55</v>
      </c>
      <c r="G30" s="48">
        <v>40569.267650462964</v>
      </c>
      <c r="H30">
        <v>3</v>
      </c>
      <c r="I30" t="s">
        <v>57</v>
      </c>
      <c r="J30">
        <v>7</v>
      </c>
      <c r="K30" s="50">
        <f t="shared" ca="1" si="0"/>
        <v>42115</v>
      </c>
      <c r="S30" s="48"/>
    </row>
    <row r="31" spans="1:19" x14ac:dyDescent="0.25">
      <c r="A31" s="49">
        <v>2.5</v>
      </c>
      <c r="B31">
        <v>841833</v>
      </c>
      <c r="C31">
        <v>32767</v>
      </c>
      <c r="D31">
        <v>1895217440</v>
      </c>
      <c r="E31">
        <v>841833</v>
      </c>
      <c r="F31" t="s">
        <v>55</v>
      </c>
      <c r="G31" s="48">
        <v>40569.524085648147</v>
      </c>
      <c r="H31">
        <v>90</v>
      </c>
      <c r="I31" t="s">
        <v>64</v>
      </c>
      <c r="J31">
        <v>2</v>
      </c>
      <c r="K31" s="50">
        <f t="shared" ca="1" si="0"/>
        <v>42113</v>
      </c>
      <c r="S31" s="48"/>
    </row>
    <row r="32" spans="1:19" x14ac:dyDescent="0.25">
      <c r="A32" s="49">
        <v>2.5</v>
      </c>
      <c r="B32">
        <v>2497</v>
      </c>
      <c r="C32">
        <v>32767</v>
      </c>
      <c r="D32">
        <v>1896873064</v>
      </c>
      <c r="E32">
        <v>2497</v>
      </c>
      <c r="F32" t="s">
        <v>55</v>
      </c>
      <c r="G32" s="48">
        <v>40570.834305555552</v>
      </c>
      <c r="H32">
        <v>1</v>
      </c>
      <c r="I32" t="s">
        <v>60</v>
      </c>
      <c r="J32">
        <v>3</v>
      </c>
      <c r="K32" s="50">
        <f t="shared" ca="1" si="0"/>
        <v>42111</v>
      </c>
      <c r="S32" s="48"/>
    </row>
    <row r="33" spans="1:19" x14ac:dyDescent="0.25">
      <c r="A33" s="49">
        <v>2.5</v>
      </c>
      <c r="B33">
        <v>321625</v>
      </c>
      <c r="C33">
        <v>32767</v>
      </c>
      <c r="D33">
        <v>1896882209</v>
      </c>
      <c r="E33">
        <v>321625</v>
      </c>
      <c r="F33" t="s">
        <v>55</v>
      </c>
      <c r="G33" s="48">
        <v>40570.839733796296</v>
      </c>
      <c r="H33">
        <v>90</v>
      </c>
      <c r="I33" t="s">
        <v>61</v>
      </c>
      <c r="J33">
        <v>4</v>
      </c>
      <c r="K33" s="50">
        <f t="shared" ca="1" si="0"/>
        <v>42109</v>
      </c>
      <c r="S33" s="48"/>
    </row>
    <row r="34" spans="1:19" x14ac:dyDescent="0.25">
      <c r="A34" s="49">
        <v>2.5</v>
      </c>
      <c r="B34">
        <v>14301481</v>
      </c>
      <c r="C34">
        <v>32767</v>
      </c>
      <c r="D34">
        <v>1897182825</v>
      </c>
      <c r="E34">
        <v>14301481</v>
      </c>
      <c r="F34" t="s">
        <v>55</v>
      </c>
      <c r="G34" s="48">
        <v>40571.007372685184</v>
      </c>
      <c r="H34">
        <v>30</v>
      </c>
      <c r="I34" t="s">
        <v>63</v>
      </c>
      <c r="J34">
        <v>4</v>
      </c>
      <c r="K34" s="50">
        <f t="shared" ca="1" si="0"/>
        <v>42107</v>
      </c>
      <c r="S34" s="48"/>
    </row>
    <row r="35" spans="1:19" x14ac:dyDescent="0.25">
      <c r="A35" s="49">
        <v>2.5099</v>
      </c>
      <c r="B35">
        <v>29859840</v>
      </c>
      <c r="C35">
        <v>32767</v>
      </c>
      <c r="D35">
        <v>1813717922</v>
      </c>
      <c r="E35">
        <v>29859840</v>
      </c>
      <c r="F35" t="s">
        <v>55</v>
      </c>
      <c r="G35" s="48">
        <v>40504.252893518518</v>
      </c>
      <c r="H35">
        <v>90</v>
      </c>
      <c r="I35" t="s">
        <v>68</v>
      </c>
      <c r="J35">
        <v>4</v>
      </c>
      <c r="K35" s="50">
        <f t="shared" ca="1" si="0"/>
        <v>42105</v>
      </c>
      <c r="S35" s="48"/>
    </row>
    <row r="36" spans="1:19" x14ac:dyDescent="0.25">
      <c r="A36" s="49">
        <v>2.5099</v>
      </c>
      <c r="B36">
        <v>31593</v>
      </c>
      <c r="C36">
        <v>32767</v>
      </c>
      <c r="D36">
        <v>1895442994</v>
      </c>
      <c r="E36">
        <v>32493</v>
      </c>
      <c r="F36" t="s">
        <v>55</v>
      </c>
      <c r="G36" s="48">
        <v>40569.703692129631</v>
      </c>
      <c r="H36">
        <v>90</v>
      </c>
      <c r="I36" t="s">
        <v>62</v>
      </c>
      <c r="J36">
        <v>3</v>
      </c>
      <c r="K36" s="50">
        <f t="shared" ca="1" si="0"/>
        <v>42103</v>
      </c>
      <c r="S36" s="48"/>
    </row>
    <row r="37" spans="1:19" x14ac:dyDescent="0.25">
      <c r="A37" s="49">
        <v>2.52</v>
      </c>
      <c r="B37">
        <v>35831808</v>
      </c>
      <c r="C37">
        <v>32767</v>
      </c>
      <c r="D37">
        <v>1813718126</v>
      </c>
      <c r="E37">
        <v>35831808</v>
      </c>
      <c r="F37" t="s">
        <v>55</v>
      </c>
      <c r="G37" s="48">
        <v>40504.253182870372</v>
      </c>
      <c r="H37">
        <v>90</v>
      </c>
      <c r="I37" t="s">
        <v>68</v>
      </c>
      <c r="J37">
        <v>4</v>
      </c>
      <c r="K37" s="50">
        <f t="shared" ca="1" si="0"/>
        <v>42101</v>
      </c>
      <c r="S37" s="48"/>
    </row>
    <row r="38" spans="1:19" x14ac:dyDescent="0.25">
      <c r="A38" s="49">
        <v>2.5299</v>
      </c>
      <c r="B38">
        <v>42998169</v>
      </c>
      <c r="C38">
        <v>32767</v>
      </c>
      <c r="D38">
        <v>1813718354</v>
      </c>
      <c r="E38">
        <v>42998169</v>
      </c>
      <c r="F38" t="s">
        <v>55</v>
      </c>
      <c r="G38" s="48">
        <v>40504.253472222219</v>
      </c>
      <c r="H38">
        <v>90</v>
      </c>
      <c r="I38" t="s">
        <v>68</v>
      </c>
      <c r="J38">
        <v>4</v>
      </c>
      <c r="K38" s="50">
        <f t="shared" ca="1" si="0"/>
        <v>42099</v>
      </c>
      <c r="S38" s="48"/>
    </row>
    <row r="39" spans="1:19" x14ac:dyDescent="0.25">
      <c r="A39" s="49">
        <v>2.54</v>
      </c>
      <c r="B39">
        <v>51597802</v>
      </c>
      <c r="C39">
        <v>32767</v>
      </c>
      <c r="D39">
        <v>1813718633</v>
      </c>
      <c r="E39">
        <v>51597802</v>
      </c>
      <c r="F39" t="s">
        <v>55</v>
      </c>
      <c r="G39" s="48">
        <v>40504.253807870373</v>
      </c>
      <c r="H39">
        <v>90</v>
      </c>
      <c r="I39" t="s">
        <v>68</v>
      </c>
      <c r="J39">
        <v>4</v>
      </c>
      <c r="K39" s="50">
        <f t="shared" ca="1" si="0"/>
        <v>42097</v>
      </c>
      <c r="S39" s="48"/>
    </row>
    <row r="40" spans="1:19" x14ac:dyDescent="0.25">
      <c r="A40" s="49">
        <v>2.54</v>
      </c>
      <c r="B40">
        <v>1680412</v>
      </c>
      <c r="C40">
        <v>32767</v>
      </c>
      <c r="D40">
        <v>1894543474</v>
      </c>
      <c r="E40">
        <v>1880412</v>
      </c>
      <c r="F40" t="s">
        <v>55</v>
      </c>
      <c r="G40" s="48">
        <v>40570.397835648146</v>
      </c>
      <c r="H40">
        <v>90</v>
      </c>
      <c r="I40" t="s">
        <v>63</v>
      </c>
      <c r="J40">
        <v>2</v>
      </c>
      <c r="K40" s="50">
        <f t="shared" ca="1" si="0"/>
        <v>42095</v>
      </c>
      <c r="S40" s="48"/>
    </row>
    <row r="41" spans="1:19" x14ac:dyDescent="0.25">
      <c r="A41" s="49">
        <v>2.54</v>
      </c>
      <c r="B41">
        <v>9704320</v>
      </c>
      <c r="C41">
        <v>32767</v>
      </c>
      <c r="D41">
        <v>1897147915</v>
      </c>
      <c r="E41">
        <v>9704320</v>
      </c>
      <c r="F41" t="s">
        <v>55</v>
      </c>
      <c r="G41" s="48">
        <v>40570.983831018515</v>
      </c>
      <c r="H41">
        <v>90</v>
      </c>
      <c r="I41" t="s">
        <v>61</v>
      </c>
      <c r="J41">
        <v>4</v>
      </c>
      <c r="K41" s="50">
        <f t="shared" ca="1" si="0"/>
        <v>42093</v>
      </c>
      <c r="S41" s="48"/>
    </row>
    <row r="42" spans="1:19" x14ac:dyDescent="0.25">
      <c r="A42" s="49">
        <v>2.5499999999999998</v>
      </c>
      <c r="B42">
        <v>61917362</v>
      </c>
      <c r="C42">
        <v>32767</v>
      </c>
      <c r="D42">
        <v>1813718813</v>
      </c>
      <c r="E42">
        <v>61917362</v>
      </c>
      <c r="F42" t="s">
        <v>55</v>
      </c>
      <c r="G42" s="48">
        <v>40504.25403935185</v>
      </c>
      <c r="H42">
        <v>90</v>
      </c>
      <c r="I42" t="s">
        <v>68</v>
      </c>
      <c r="J42">
        <v>4</v>
      </c>
      <c r="K42" s="50">
        <f t="shared" ca="1" si="0"/>
        <v>42091</v>
      </c>
      <c r="S42" s="48"/>
    </row>
    <row r="43" spans="1:19" x14ac:dyDescent="0.25">
      <c r="A43" s="49">
        <v>2.5499999999999998</v>
      </c>
      <c r="B43">
        <v>47813453</v>
      </c>
      <c r="C43">
        <v>32767</v>
      </c>
      <c r="D43">
        <v>1867435110</v>
      </c>
      <c r="E43">
        <v>47813453</v>
      </c>
      <c r="F43" t="s">
        <v>55</v>
      </c>
      <c r="G43" s="48">
        <v>40547.99759259259</v>
      </c>
      <c r="H43">
        <v>90</v>
      </c>
      <c r="I43" t="s">
        <v>68</v>
      </c>
      <c r="J43">
        <v>4</v>
      </c>
      <c r="K43" s="50">
        <f t="shared" ca="1" si="0"/>
        <v>42089</v>
      </c>
      <c r="S43" s="48"/>
    </row>
    <row r="44" spans="1:19" x14ac:dyDescent="0.25">
      <c r="A44" s="49">
        <v>2.5499999999999998</v>
      </c>
      <c r="B44">
        <v>364997</v>
      </c>
      <c r="C44">
        <v>32767</v>
      </c>
      <c r="D44">
        <v>1894728463</v>
      </c>
      <c r="E44">
        <v>364997</v>
      </c>
      <c r="F44" t="s">
        <v>55</v>
      </c>
      <c r="G44" s="48">
        <v>40569.039733796293</v>
      </c>
      <c r="H44">
        <v>90</v>
      </c>
      <c r="I44" t="s">
        <v>65</v>
      </c>
      <c r="J44">
        <v>3</v>
      </c>
      <c r="K44" s="50">
        <f t="shared" ca="1" si="0"/>
        <v>42087</v>
      </c>
      <c r="S44" s="48"/>
    </row>
    <row r="45" spans="1:19" x14ac:dyDescent="0.25">
      <c r="A45" s="49">
        <v>2.5499999999999998</v>
      </c>
      <c r="B45">
        <v>608073</v>
      </c>
      <c r="C45">
        <v>32767</v>
      </c>
      <c r="D45">
        <v>1895950674</v>
      </c>
      <c r="E45">
        <v>608073</v>
      </c>
      <c r="F45" t="s">
        <v>55</v>
      </c>
      <c r="G45" s="48">
        <v>40569.977210648147</v>
      </c>
      <c r="H45">
        <v>90</v>
      </c>
      <c r="I45" t="s">
        <v>61</v>
      </c>
      <c r="J45">
        <v>4</v>
      </c>
      <c r="K45" s="50">
        <f t="shared" ca="1" si="0"/>
        <v>42085</v>
      </c>
      <c r="S45" s="48"/>
    </row>
    <row r="46" spans="1:19" x14ac:dyDescent="0.25">
      <c r="A46" s="49">
        <v>2.56</v>
      </c>
      <c r="B46">
        <v>74300834</v>
      </c>
      <c r="C46">
        <v>32767</v>
      </c>
      <c r="D46">
        <v>1813719142</v>
      </c>
      <c r="E46">
        <v>74300834</v>
      </c>
      <c r="F46" t="s">
        <v>55</v>
      </c>
      <c r="G46" s="48">
        <v>40504.254467592589</v>
      </c>
      <c r="H46">
        <v>90</v>
      </c>
      <c r="I46" t="s">
        <v>68</v>
      </c>
      <c r="J46">
        <v>4</v>
      </c>
      <c r="K46" s="50">
        <f t="shared" ca="1" si="0"/>
        <v>42083</v>
      </c>
      <c r="S46" s="48"/>
    </row>
    <row r="47" spans="1:19" x14ac:dyDescent="0.25">
      <c r="A47" s="49">
        <v>2.57</v>
      </c>
      <c r="B47">
        <v>89161000</v>
      </c>
      <c r="C47">
        <v>32767</v>
      </c>
      <c r="D47">
        <v>1813719365</v>
      </c>
      <c r="E47">
        <v>89161000</v>
      </c>
      <c r="F47" t="s">
        <v>55</v>
      </c>
      <c r="G47" s="48">
        <v>40504.25472222222</v>
      </c>
      <c r="H47">
        <v>90</v>
      </c>
      <c r="I47" t="s">
        <v>68</v>
      </c>
      <c r="J47">
        <v>4</v>
      </c>
      <c r="K47" s="50">
        <f t="shared" ca="1" si="0"/>
        <v>42081</v>
      </c>
      <c r="S47" s="48"/>
    </row>
    <row r="48" spans="1:19" x14ac:dyDescent="0.25">
      <c r="A48" s="49">
        <v>2.57</v>
      </c>
      <c r="B48">
        <v>151400</v>
      </c>
      <c r="C48">
        <v>32767</v>
      </c>
      <c r="D48">
        <v>1843539284</v>
      </c>
      <c r="E48">
        <v>151402</v>
      </c>
      <c r="F48" t="s">
        <v>55</v>
      </c>
      <c r="G48" s="48">
        <v>40529.770972222221</v>
      </c>
      <c r="H48">
        <v>90</v>
      </c>
      <c r="I48" t="s">
        <v>65</v>
      </c>
      <c r="J48">
        <v>3</v>
      </c>
      <c r="K48" s="50">
        <f t="shared" ca="1" si="0"/>
        <v>42079</v>
      </c>
      <c r="S48" s="48"/>
    </row>
    <row r="49" spans="1:19" x14ac:dyDescent="0.25">
      <c r="A49" s="49">
        <v>2.58</v>
      </c>
      <c r="B49">
        <v>106993200</v>
      </c>
      <c r="C49">
        <v>32767</v>
      </c>
      <c r="D49">
        <v>1813719979</v>
      </c>
      <c r="E49">
        <v>106993200</v>
      </c>
      <c r="F49" t="s">
        <v>55</v>
      </c>
      <c r="G49" s="48">
        <v>40504.255428240744</v>
      </c>
      <c r="H49">
        <v>90</v>
      </c>
      <c r="I49" t="s">
        <v>68</v>
      </c>
      <c r="J49">
        <v>4</v>
      </c>
      <c r="K49" s="50">
        <f t="shared" ca="1" si="0"/>
        <v>42077</v>
      </c>
      <c r="S49" s="48"/>
    </row>
    <row r="50" spans="1:19" x14ac:dyDescent="0.25">
      <c r="A50" s="49">
        <v>2.59</v>
      </c>
      <c r="B50">
        <v>128391840</v>
      </c>
      <c r="C50">
        <v>32767</v>
      </c>
      <c r="D50">
        <v>1813720244</v>
      </c>
      <c r="E50">
        <v>128391840</v>
      </c>
      <c r="F50" t="s">
        <v>55</v>
      </c>
      <c r="G50" s="48">
        <v>40504.255752314813</v>
      </c>
      <c r="H50">
        <v>90</v>
      </c>
      <c r="I50" t="s">
        <v>68</v>
      </c>
      <c r="J50">
        <v>4</v>
      </c>
      <c r="K50" s="50">
        <f t="shared" ca="1" si="0"/>
        <v>42075</v>
      </c>
      <c r="S50" s="48"/>
    </row>
    <row r="51" spans="1:19" x14ac:dyDescent="0.25">
      <c r="A51" s="49">
        <v>2.59</v>
      </c>
      <c r="B51">
        <v>3146569</v>
      </c>
      <c r="C51">
        <v>32767</v>
      </c>
      <c r="D51">
        <v>1897144739</v>
      </c>
      <c r="E51">
        <v>3146569</v>
      </c>
      <c r="F51" t="s">
        <v>55</v>
      </c>
      <c r="G51" s="48">
        <v>40570.981840277775</v>
      </c>
      <c r="H51">
        <v>90</v>
      </c>
      <c r="I51" t="s">
        <v>64</v>
      </c>
      <c r="J51">
        <v>2</v>
      </c>
      <c r="K51" s="50">
        <f t="shared" ca="1" si="0"/>
        <v>42073</v>
      </c>
      <c r="S51" s="48"/>
    </row>
    <row r="52" spans="1:19" x14ac:dyDescent="0.25">
      <c r="A52" s="49">
        <v>2.6</v>
      </c>
      <c r="B52">
        <v>154070200</v>
      </c>
      <c r="C52">
        <v>32767</v>
      </c>
      <c r="D52">
        <v>1813720414</v>
      </c>
      <c r="E52">
        <v>154070200</v>
      </c>
      <c r="F52" t="s">
        <v>55</v>
      </c>
      <c r="G52" s="48">
        <v>40504.255995370368</v>
      </c>
      <c r="H52">
        <v>90</v>
      </c>
      <c r="I52" t="s">
        <v>68</v>
      </c>
      <c r="J52">
        <v>4</v>
      </c>
      <c r="K52" s="50">
        <f t="shared" ca="1" si="0"/>
        <v>42071</v>
      </c>
      <c r="S52" s="48"/>
    </row>
    <row r="53" spans="1:19" x14ac:dyDescent="0.25">
      <c r="A53" s="49">
        <v>2.6</v>
      </c>
      <c r="B53">
        <v>2631524</v>
      </c>
      <c r="C53">
        <v>32767</v>
      </c>
      <c r="D53">
        <v>1856217831</v>
      </c>
      <c r="E53">
        <v>17804459</v>
      </c>
      <c r="F53" t="s">
        <v>55</v>
      </c>
      <c r="G53" s="48">
        <v>40539.519004629627</v>
      </c>
      <c r="H53">
        <v>90</v>
      </c>
      <c r="I53" t="s">
        <v>69</v>
      </c>
      <c r="J53">
        <v>6</v>
      </c>
      <c r="K53" s="50">
        <f t="shared" ca="1" si="0"/>
        <v>42069</v>
      </c>
      <c r="S53" s="48"/>
    </row>
    <row r="54" spans="1:19" x14ac:dyDescent="0.25">
      <c r="A54" s="49">
        <v>2.6</v>
      </c>
      <c r="B54">
        <v>835889</v>
      </c>
      <c r="C54">
        <v>32767</v>
      </c>
      <c r="D54">
        <v>1876847889</v>
      </c>
      <c r="E54">
        <v>857489</v>
      </c>
      <c r="F54" t="s">
        <v>55</v>
      </c>
      <c r="G54" s="48">
        <v>40555.050173611111</v>
      </c>
      <c r="H54">
        <v>90</v>
      </c>
      <c r="I54" t="s">
        <v>63</v>
      </c>
      <c r="J54">
        <v>2</v>
      </c>
      <c r="K54" s="50">
        <f t="shared" ca="1" si="0"/>
        <v>42067</v>
      </c>
      <c r="S54" s="48"/>
    </row>
    <row r="55" spans="1:19" x14ac:dyDescent="0.25">
      <c r="A55" s="49">
        <v>2.6</v>
      </c>
      <c r="B55">
        <v>542669</v>
      </c>
      <c r="C55">
        <v>32767</v>
      </c>
      <c r="D55">
        <v>1894802153</v>
      </c>
      <c r="E55">
        <v>542669</v>
      </c>
      <c r="F55" t="s">
        <v>55</v>
      </c>
      <c r="G55" s="48">
        <v>40569.093819444446</v>
      </c>
      <c r="H55">
        <v>90</v>
      </c>
      <c r="I55" t="s">
        <v>62</v>
      </c>
      <c r="J55">
        <v>3</v>
      </c>
      <c r="K55" s="50">
        <f t="shared" ca="1" si="0"/>
        <v>42065</v>
      </c>
      <c r="S55" s="48"/>
    </row>
    <row r="56" spans="1:19" x14ac:dyDescent="0.25">
      <c r="A56" s="49">
        <v>2.6</v>
      </c>
      <c r="B56">
        <v>279093</v>
      </c>
      <c r="C56">
        <v>32767</v>
      </c>
      <c r="D56">
        <v>1895919277</v>
      </c>
      <c r="E56">
        <v>279093</v>
      </c>
      <c r="F56" t="s">
        <v>55</v>
      </c>
      <c r="G56" s="48">
        <v>40569.959178240744</v>
      </c>
      <c r="H56">
        <v>30</v>
      </c>
      <c r="I56" t="s">
        <v>62</v>
      </c>
      <c r="J56">
        <v>3</v>
      </c>
      <c r="K56" s="50">
        <f t="shared" ca="1" si="0"/>
        <v>42063</v>
      </c>
      <c r="S56" s="48"/>
    </row>
    <row r="57" spans="1:19" x14ac:dyDescent="0.25">
      <c r="A57" s="49">
        <v>2.65</v>
      </c>
      <c r="B57">
        <v>100000000</v>
      </c>
      <c r="C57">
        <v>32767</v>
      </c>
      <c r="D57">
        <v>1633078042</v>
      </c>
      <c r="E57">
        <v>100000000</v>
      </c>
      <c r="F57" t="s">
        <v>55</v>
      </c>
      <c r="G57" s="48">
        <v>40539.362893518519</v>
      </c>
      <c r="H57">
        <v>90</v>
      </c>
      <c r="I57" t="s">
        <v>68</v>
      </c>
      <c r="J57">
        <v>4</v>
      </c>
      <c r="K57" s="50">
        <f t="shared" ca="1" si="0"/>
        <v>42061</v>
      </c>
      <c r="S57" s="48"/>
    </row>
    <row r="58" spans="1:19" x14ac:dyDescent="0.25">
      <c r="A58" s="49">
        <v>2.65</v>
      </c>
      <c r="B58">
        <v>83667</v>
      </c>
      <c r="C58">
        <v>32767</v>
      </c>
      <c r="D58">
        <v>1879539447</v>
      </c>
      <c r="E58">
        <v>200000</v>
      </c>
      <c r="F58" t="s">
        <v>55</v>
      </c>
      <c r="G58" s="48">
        <v>40557.330625000002</v>
      </c>
      <c r="H58">
        <v>14</v>
      </c>
      <c r="I58" t="s">
        <v>57</v>
      </c>
      <c r="J58">
        <v>7</v>
      </c>
      <c r="K58" s="50">
        <f t="shared" ca="1" si="0"/>
        <v>42059</v>
      </c>
      <c r="S58" s="48"/>
    </row>
    <row r="59" spans="1:19" x14ac:dyDescent="0.25">
      <c r="A59" s="49">
        <v>2.65</v>
      </c>
      <c r="B59">
        <v>931780</v>
      </c>
      <c r="C59">
        <v>32767</v>
      </c>
      <c r="D59">
        <v>1890148870</v>
      </c>
      <c r="E59">
        <v>2314780</v>
      </c>
      <c r="F59" t="s">
        <v>55</v>
      </c>
      <c r="G59" s="48">
        <v>40565.937314814815</v>
      </c>
      <c r="H59">
        <v>90</v>
      </c>
      <c r="I59" t="s">
        <v>64</v>
      </c>
      <c r="J59">
        <v>2</v>
      </c>
      <c r="K59" s="50">
        <f t="shared" ca="1" si="0"/>
        <v>42057</v>
      </c>
      <c r="S59" s="48"/>
    </row>
    <row r="60" spans="1:19" x14ac:dyDescent="0.25">
      <c r="A60" s="49">
        <v>2.75</v>
      </c>
      <c r="B60">
        <v>20000000</v>
      </c>
      <c r="C60">
        <v>32767</v>
      </c>
      <c r="D60">
        <v>1790167773</v>
      </c>
      <c r="E60">
        <v>20000000</v>
      </c>
      <c r="F60" t="s">
        <v>55</v>
      </c>
      <c r="G60" s="48">
        <v>40482.279270833336</v>
      </c>
      <c r="H60">
        <v>90</v>
      </c>
      <c r="I60" t="s">
        <v>66</v>
      </c>
      <c r="J60">
        <v>7</v>
      </c>
      <c r="K60" s="50">
        <f t="shared" ca="1" si="0"/>
        <v>42055</v>
      </c>
      <c r="S60" s="48"/>
    </row>
    <row r="61" spans="1:19" x14ac:dyDescent="0.25">
      <c r="A61" s="49">
        <v>2.75</v>
      </c>
      <c r="B61">
        <v>18537</v>
      </c>
      <c r="C61">
        <v>32767</v>
      </c>
      <c r="D61">
        <v>1824557028</v>
      </c>
      <c r="E61">
        <v>22005</v>
      </c>
      <c r="F61" t="s">
        <v>55</v>
      </c>
      <c r="G61" s="48">
        <v>40513.93414351852</v>
      </c>
      <c r="H61">
        <v>90</v>
      </c>
      <c r="I61" t="s">
        <v>61</v>
      </c>
      <c r="J61">
        <v>3</v>
      </c>
      <c r="K61" s="50">
        <f t="shared" ca="1" si="0"/>
        <v>42053</v>
      </c>
      <c r="S61" s="48"/>
    </row>
    <row r="62" spans="1:19" x14ac:dyDescent="0.25">
      <c r="A62" s="49">
        <v>2.75</v>
      </c>
      <c r="B62">
        <v>20000000</v>
      </c>
      <c r="C62">
        <v>32767</v>
      </c>
      <c r="D62">
        <v>1838369345</v>
      </c>
      <c r="E62">
        <v>20000000</v>
      </c>
      <c r="F62" t="s">
        <v>55</v>
      </c>
      <c r="G62" s="48">
        <v>40525.311481481483</v>
      </c>
      <c r="H62">
        <v>90</v>
      </c>
      <c r="I62" t="s">
        <v>67</v>
      </c>
      <c r="J62">
        <v>5</v>
      </c>
      <c r="K62" s="50">
        <f t="shared" ca="1" si="0"/>
        <v>42051</v>
      </c>
      <c r="S62" s="48"/>
    </row>
    <row r="63" spans="1:19" x14ac:dyDescent="0.25">
      <c r="A63" s="49">
        <v>2.7799</v>
      </c>
      <c r="B63">
        <v>307383</v>
      </c>
      <c r="C63">
        <v>32767</v>
      </c>
      <c r="D63">
        <v>1807088435</v>
      </c>
      <c r="E63">
        <v>307383</v>
      </c>
      <c r="F63" t="s">
        <v>55</v>
      </c>
      <c r="G63" s="48">
        <v>40498.235543981478</v>
      </c>
      <c r="H63">
        <v>90</v>
      </c>
      <c r="I63" t="s">
        <v>68</v>
      </c>
      <c r="J63">
        <v>4</v>
      </c>
      <c r="K63" s="50">
        <f t="shared" ca="1" si="0"/>
        <v>42049</v>
      </c>
      <c r="S63" s="48"/>
    </row>
    <row r="64" spans="1:19" x14ac:dyDescent="0.25">
      <c r="A64" s="49">
        <v>2.81</v>
      </c>
      <c r="B64">
        <v>85872</v>
      </c>
      <c r="C64">
        <v>32767</v>
      </c>
      <c r="D64">
        <v>1893180578</v>
      </c>
      <c r="E64">
        <v>85872</v>
      </c>
      <c r="F64" t="s">
        <v>55</v>
      </c>
      <c r="G64" s="48">
        <v>40567.917164351849</v>
      </c>
      <c r="H64">
        <v>90</v>
      </c>
      <c r="I64" t="s">
        <v>64</v>
      </c>
      <c r="J64">
        <v>2</v>
      </c>
      <c r="K64" s="50">
        <f t="shared" ca="1" si="0"/>
        <v>42047</v>
      </c>
      <c r="S64" s="48"/>
    </row>
    <row r="65" spans="1:19" x14ac:dyDescent="0.25">
      <c r="A65" s="49">
        <v>2.85</v>
      </c>
      <c r="B65">
        <v>13965</v>
      </c>
      <c r="C65">
        <v>32767</v>
      </c>
      <c r="D65">
        <v>1873212440</v>
      </c>
      <c r="E65">
        <v>13965</v>
      </c>
      <c r="F65" t="s">
        <v>55</v>
      </c>
      <c r="G65" s="48">
        <v>40552.354675925926</v>
      </c>
      <c r="H65">
        <v>90</v>
      </c>
      <c r="I65" t="s">
        <v>65</v>
      </c>
      <c r="J65">
        <v>5</v>
      </c>
      <c r="K65" s="50">
        <f t="shared" ca="1" si="0"/>
        <v>42045</v>
      </c>
      <c r="S65" s="48"/>
    </row>
    <row r="66" spans="1:19" x14ac:dyDescent="0.25">
      <c r="A66" s="49">
        <v>2.9</v>
      </c>
      <c r="B66">
        <v>22596</v>
      </c>
      <c r="C66">
        <v>32767</v>
      </c>
      <c r="D66">
        <v>1866004866</v>
      </c>
      <c r="E66">
        <v>29347</v>
      </c>
      <c r="F66" t="s">
        <v>55</v>
      </c>
      <c r="G66" s="48">
        <v>40546.915162037039</v>
      </c>
      <c r="H66">
        <v>90</v>
      </c>
      <c r="I66" t="s">
        <v>60</v>
      </c>
      <c r="J66">
        <v>6</v>
      </c>
      <c r="K66" s="50">
        <f t="shared" ca="1" si="0"/>
        <v>42043</v>
      </c>
      <c r="S66" s="48"/>
    </row>
    <row r="67" spans="1:19" x14ac:dyDescent="0.25">
      <c r="A67" s="49">
        <v>2.95</v>
      </c>
      <c r="B67">
        <v>390000</v>
      </c>
      <c r="C67">
        <v>32767</v>
      </c>
      <c r="D67">
        <v>1860621705</v>
      </c>
      <c r="E67">
        <v>390000</v>
      </c>
      <c r="F67" t="s">
        <v>55</v>
      </c>
      <c r="G67" s="48">
        <v>40542.852488425924</v>
      </c>
      <c r="H67">
        <v>90</v>
      </c>
      <c r="I67" t="s">
        <v>61</v>
      </c>
      <c r="J67">
        <v>3</v>
      </c>
      <c r="K67" s="50">
        <f t="shared" ca="1" si="0"/>
        <v>42041</v>
      </c>
      <c r="S67" s="48"/>
    </row>
    <row r="68" spans="1:19" x14ac:dyDescent="0.25">
      <c r="A68" s="49">
        <v>2.95</v>
      </c>
      <c r="B68">
        <v>280863</v>
      </c>
      <c r="C68">
        <v>32767</v>
      </c>
      <c r="D68">
        <v>1878334642</v>
      </c>
      <c r="E68">
        <v>371831</v>
      </c>
      <c r="F68" t="s">
        <v>55</v>
      </c>
      <c r="G68" s="48">
        <v>40556.311122685183</v>
      </c>
      <c r="H68">
        <v>90</v>
      </c>
      <c r="I68" t="s">
        <v>66</v>
      </c>
      <c r="J68">
        <v>5</v>
      </c>
      <c r="K68" s="50">
        <f t="shared" ref="K68:K131" ca="1" si="1">+K67-2</f>
        <v>42039</v>
      </c>
      <c r="S68" s="48"/>
    </row>
    <row r="69" spans="1:19" x14ac:dyDescent="0.25">
      <c r="A69" s="49">
        <v>2.96</v>
      </c>
      <c r="B69">
        <v>1129783</v>
      </c>
      <c r="C69">
        <v>32767</v>
      </c>
      <c r="D69">
        <v>1853601224</v>
      </c>
      <c r="E69">
        <v>5000000</v>
      </c>
      <c r="F69" t="s">
        <v>55</v>
      </c>
      <c r="G69" s="48">
        <v>40537.317291666666</v>
      </c>
      <c r="H69">
        <v>90</v>
      </c>
      <c r="I69" t="s">
        <v>57</v>
      </c>
      <c r="J69">
        <v>7</v>
      </c>
      <c r="K69" s="50">
        <f t="shared" ca="1" si="1"/>
        <v>42037</v>
      </c>
      <c r="S69" s="48"/>
    </row>
    <row r="70" spans="1:19" x14ac:dyDescent="0.25">
      <c r="A70" s="49">
        <v>2.99</v>
      </c>
      <c r="B70">
        <v>18650</v>
      </c>
      <c r="C70">
        <v>32767</v>
      </c>
      <c r="D70">
        <v>1886842441</v>
      </c>
      <c r="E70">
        <v>18650</v>
      </c>
      <c r="F70" t="s">
        <v>55</v>
      </c>
      <c r="G70" s="48">
        <v>40563.557974537034</v>
      </c>
      <c r="H70">
        <v>14</v>
      </c>
      <c r="I70" t="s">
        <v>67</v>
      </c>
      <c r="J70">
        <v>6</v>
      </c>
      <c r="K70" s="50">
        <f t="shared" ca="1" si="1"/>
        <v>42035</v>
      </c>
      <c r="S70" s="48"/>
    </row>
    <row r="71" spans="1:19" x14ac:dyDescent="0.25">
      <c r="A71" s="49">
        <v>3</v>
      </c>
      <c r="B71">
        <v>30000000</v>
      </c>
      <c r="C71">
        <v>32767</v>
      </c>
      <c r="D71">
        <v>1790167645</v>
      </c>
      <c r="E71">
        <v>30000000</v>
      </c>
      <c r="F71" t="s">
        <v>55</v>
      </c>
      <c r="G71" s="48">
        <v>40482.279108796298</v>
      </c>
      <c r="H71">
        <v>90</v>
      </c>
      <c r="I71" t="s">
        <v>66</v>
      </c>
      <c r="J71">
        <v>7</v>
      </c>
      <c r="K71" s="50">
        <f t="shared" ca="1" si="1"/>
        <v>42033</v>
      </c>
      <c r="S71" s="48"/>
    </row>
    <row r="72" spans="1:19" x14ac:dyDescent="0.25">
      <c r="A72" s="49">
        <v>3</v>
      </c>
      <c r="B72">
        <v>212151</v>
      </c>
      <c r="C72">
        <v>32767</v>
      </c>
      <c r="D72">
        <v>1790285988</v>
      </c>
      <c r="E72">
        <v>212153</v>
      </c>
      <c r="F72" t="s">
        <v>55</v>
      </c>
      <c r="G72" s="48">
        <v>40482.405405092592</v>
      </c>
      <c r="H72">
        <v>90</v>
      </c>
      <c r="I72" t="s">
        <v>65</v>
      </c>
      <c r="J72">
        <v>5</v>
      </c>
      <c r="K72" s="50">
        <f t="shared" ca="1" si="1"/>
        <v>42031</v>
      </c>
      <c r="S72" s="48"/>
    </row>
    <row r="73" spans="1:19" x14ac:dyDescent="0.25">
      <c r="A73" s="49">
        <v>3</v>
      </c>
      <c r="B73">
        <v>2077261</v>
      </c>
      <c r="C73">
        <v>32767</v>
      </c>
      <c r="D73">
        <v>1790286539</v>
      </c>
      <c r="E73">
        <v>2082662</v>
      </c>
      <c r="F73" t="s">
        <v>55</v>
      </c>
      <c r="G73" s="48">
        <v>40482.405949074076</v>
      </c>
      <c r="H73">
        <v>90</v>
      </c>
      <c r="I73" t="s">
        <v>68</v>
      </c>
      <c r="J73">
        <v>6</v>
      </c>
      <c r="K73" s="50">
        <f t="shared" ca="1" si="1"/>
        <v>42029</v>
      </c>
      <c r="S73" s="48"/>
    </row>
    <row r="74" spans="1:19" x14ac:dyDescent="0.25">
      <c r="A74" s="49">
        <v>3</v>
      </c>
      <c r="B74">
        <v>48344</v>
      </c>
      <c r="C74">
        <v>32767</v>
      </c>
      <c r="D74">
        <v>1800866530</v>
      </c>
      <c r="E74">
        <v>48679</v>
      </c>
      <c r="F74" t="s">
        <v>55</v>
      </c>
      <c r="G74" s="48">
        <v>40492.698680555557</v>
      </c>
      <c r="H74">
        <v>90</v>
      </c>
      <c r="I74" t="s">
        <v>69</v>
      </c>
      <c r="J74">
        <v>6</v>
      </c>
      <c r="K74" s="50">
        <f t="shared" ca="1" si="1"/>
        <v>42027</v>
      </c>
      <c r="S74" s="48"/>
    </row>
    <row r="75" spans="1:19" x14ac:dyDescent="0.25">
      <c r="A75" s="49">
        <v>3</v>
      </c>
      <c r="B75">
        <v>6171154</v>
      </c>
      <c r="C75">
        <v>32767</v>
      </c>
      <c r="D75">
        <v>1803747985</v>
      </c>
      <c r="E75">
        <v>6171154</v>
      </c>
      <c r="F75" t="s">
        <v>55</v>
      </c>
      <c r="G75" s="48">
        <v>40495.44903935185</v>
      </c>
      <c r="H75">
        <v>90</v>
      </c>
      <c r="I75" t="s">
        <v>65</v>
      </c>
      <c r="J75">
        <v>5</v>
      </c>
      <c r="K75" s="50">
        <f t="shared" ca="1" si="1"/>
        <v>42025</v>
      </c>
      <c r="S75" s="48"/>
    </row>
    <row r="76" spans="1:19" x14ac:dyDescent="0.25">
      <c r="A76" s="49">
        <v>3</v>
      </c>
      <c r="B76">
        <v>125083</v>
      </c>
      <c r="C76">
        <v>32767</v>
      </c>
      <c r="D76">
        <v>1803748164</v>
      </c>
      <c r="E76">
        <v>125090</v>
      </c>
      <c r="F76" t="s">
        <v>55</v>
      </c>
      <c r="G76" s="48">
        <v>40495.449189814812</v>
      </c>
      <c r="H76">
        <v>90</v>
      </c>
      <c r="I76" t="s">
        <v>65</v>
      </c>
      <c r="J76">
        <v>5</v>
      </c>
      <c r="K76" s="50">
        <f t="shared" ca="1" si="1"/>
        <v>42023</v>
      </c>
      <c r="S76" s="48"/>
    </row>
    <row r="77" spans="1:19" x14ac:dyDescent="0.25">
      <c r="A77" s="49">
        <v>3</v>
      </c>
      <c r="B77">
        <v>30000000</v>
      </c>
      <c r="C77">
        <v>32767</v>
      </c>
      <c r="D77">
        <v>1832583042</v>
      </c>
      <c r="E77">
        <v>30000000</v>
      </c>
      <c r="F77" t="s">
        <v>55</v>
      </c>
      <c r="G77" s="48">
        <v>40520.337199074071</v>
      </c>
      <c r="H77">
        <v>90</v>
      </c>
      <c r="I77" t="s">
        <v>67</v>
      </c>
      <c r="J77">
        <v>5</v>
      </c>
      <c r="K77" s="50">
        <f t="shared" ca="1" si="1"/>
        <v>42021</v>
      </c>
      <c r="S77" s="48"/>
    </row>
    <row r="78" spans="1:19" x14ac:dyDescent="0.25">
      <c r="A78" s="49">
        <v>3</v>
      </c>
      <c r="B78">
        <v>58774430</v>
      </c>
      <c r="C78">
        <v>32767</v>
      </c>
      <c r="D78">
        <v>1832992193</v>
      </c>
      <c r="E78">
        <v>58774430</v>
      </c>
      <c r="F78" t="s">
        <v>55</v>
      </c>
      <c r="G78" s="48">
        <v>40520.770787037036</v>
      </c>
      <c r="H78">
        <v>90</v>
      </c>
      <c r="I78" t="s">
        <v>67</v>
      </c>
      <c r="J78">
        <v>5</v>
      </c>
      <c r="K78" s="50">
        <f t="shared" ca="1" si="1"/>
        <v>42019</v>
      </c>
      <c r="S78" s="48"/>
    </row>
    <row r="79" spans="1:19" x14ac:dyDescent="0.25">
      <c r="A79" s="49">
        <v>3</v>
      </c>
      <c r="B79">
        <v>165134</v>
      </c>
      <c r="C79">
        <v>32767</v>
      </c>
      <c r="D79">
        <v>1839473577</v>
      </c>
      <c r="E79">
        <v>165134</v>
      </c>
      <c r="F79" t="s">
        <v>55</v>
      </c>
      <c r="G79" s="48">
        <v>40526.331550925926</v>
      </c>
      <c r="H79">
        <v>90</v>
      </c>
      <c r="I79" t="s">
        <v>57</v>
      </c>
      <c r="J79">
        <v>7</v>
      </c>
      <c r="K79" s="50">
        <f t="shared" ca="1" si="1"/>
        <v>42017</v>
      </c>
      <c r="S79" s="48"/>
    </row>
    <row r="80" spans="1:19" x14ac:dyDescent="0.25">
      <c r="A80" s="49">
        <v>3</v>
      </c>
      <c r="B80">
        <v>20000000</v>
      </c>
      <c r="C80">
        <v>32767</v>
      </c>
      <c r="D80">
        <v>1861789696</v>
      </c>
      <c r="E80">
        <v>36000000</v>
      </c>
      <c r="F80" t="s">
        <v>55</v>
      </c>
      <c r="G80" s="48">
        <v>40543.78665509259</v>
      </c>
      <c r="H80">
        <v>90</v>
      </c>
      <c r="I80" t="s">
        <v>57</v>
      </c>
      <c r="J80">
        <v>1</v>
      </c>
      <c r="K80" s="50">
        <f t="shared" ca="1" si="1"/>
        <v>42015</v>
      </c>
      <c r="S80" s="48"/>
    </row>
    <row r="81" spans="1:19" x14ac:dyDescent="0.25">
      <c r="A81" s="49">
        <v>3</v>
      </c>
      <c r="B81">
        <v>35989000</v>
      </c>
      <c r="C81">
        <v>32767</v>
      </c>
      <c r="D81">
        <v>1861792001</v>
      </c>
      <c r="E81">
        <v>36000000</v>
      </c>
      <c r="F81" t="s">
        <v>55</v>
      </c>
      <c r="G81" s="48">
        <v>40543.788460648146</v>
      </c>
      <c r="H81">
        <v>90</v>
      </c>
      <c r="I81" t="s">
        <v>57</v>
      </c>
      <c r="J81">
        <v>1</v>
      </c>
      <c r="K81" s="50">
        <f t="shared" ca="1" si="1"/>
        <v>42013</v>
      </c>
      <c r="S81" s="48"/>
    </row>
    <row r="82" spans="1:19" x14ac:dyDescent="0.25">
      <c r="A82" s="49">
        <v>3</v>
      </c>
      <c r="B82">
        <v>86634</v>
      </c>
      <c r="C82">
        <v>32767</v>
      </c>
      <c r="D82">
        <v>1879935016</v>
      </c>
      <c r="E82">
        <v>86634</v>
      </c>
      <c r="F82" t="s">
        <v>55</v>
      </c>
      <c r="G82" s="48">
        <v>40557.869826388887</v>
      </c>
      <c r="H82">
        <v>90</v>
      </c>
      <c r="I82" t="s">
        <v>61</v>
      </c>
      <c r="J82">
        <v>3</v>
      </c>
      <c r="K82" s="50">
        <f t="shared" ca="1" si="1"/>
        <v>42011</v>
      </c>
      <c r="S82" s="48"/>
    </row>
    <row r="83" spans="1:19" x14ac:dyDescent="0.25">
      <c r="A83" s="49">
        <v>3</v>
      </c>
      <c r="B83">
        <v>14531</v>
      </c>
      <c r="C83">
        <v>32767</v>
      </c>
      <c r="D83">
        <v>1886544163</v>
      </c>
      <c r="E83">
        <v>14531</v>
      </c>
      <c r="F83" t="s">
        <v>55</v>
      </c>
      <c r="G83" s="48">
        <v>40563.126770833333</v>
      </c>
      <c r="H83">
        <v>14</v>
      </c>
      <c r="I83" t="s">
        <v>63</v>
      </c>
      <c r="J83">
        <v>2</v>
      </c>
      <c r="K83" s="50">
        <f t="shared" ca="1" si="1"/>
        <v>42009</v>
      </c>
      <c r="S83" s="48"/>
    </row>
    <row r="84" spans="1:19" x14ac:dyDescent="0.25">
      <c r="A84" s="49">
        <v>3</v>
      </c>
      <c r="B84">
        <v>3</v>
      </c>
      <c r="C84">
        <v>32767</v>
      </c>
      <c r="D84">
        <v>1897061703</v>
      </c>
      <c r="E84">
        <v>3</v>
      </c>
      <c r="F84" t="s">
        <v>55</v>
      </c>
      <c r="G84" s="48">
        <v>40570.935185185182</v>
      </c>
      <c r="H84">
        <v>1</v>
      </c>
      <c r="I84" t="s">
        <v>61</v>
      </c>
      <c r="J84">
        <v>3</v>
      </c>
      <c r="K84" s="50">
        <f t="shared" ca="1" si="1"/>
        <v>42007</v>
      </c>
      <c r="S84" s="48"/>
    </row>
    <row r="85" spans="1:19" x14ac:dyDescent="0.25">
      <c r="A85" s="49">
        <v>3.1</v>
      </c>
      <c r="B85">
        <v>19993</v>
      </c>
      <c r="C85">
        <v>32767</v>
      </c>
      <c r="D85">
        <v>1886763806</v>
      </c>
      <c r="E85">
        <v>19993</v>
      </c>
      <c r="F85" t="s">
        <v>55</v>
      </c>
      <c r="G85" s="48">
        <v>40563.342175925929</v>
      </c>
      <c r="H85">
        <v>90</v>
      </c>
      <c r="I85" t="s">
        <v>57</v>
      </c>
      <c r="J85">
        <v>7</v>
      </c>
      <c r="K85" s="50">
        <f t="shared" ca="1" si="1"/>
        <v>42005</v>
      </c>
      <c r="S85" s="48"/>
    </row>
    <row r="86" spans="1:19" x14ac:dyDescent="0.25">
      <c r="A86" s="49">
        <v>3.15</v>
      </c>
      <c r="B86">
        <v>441661</v>
      </c>
      <c r="C86">
        <v>32767</v>
      </c>
      <c r="D86">
        <v>1895973957</v>
      </c>
      <c r="E86">
        <v>461661</v>
      </c>
      <c r="F86" t="s">
        <v>55</v>
      </c>
      <c r="G86" s="48">
        <v>40569.991400462961</v>
      </c>
      <c r="H86">
        <v>1</v>
      </c>
      <c r="I86" t="s">
        <v>63</v>
      </c>
      <c r="J86">
        <v>4</v>
      </c>
      <c r="K86" s="50">
        <f t="shared" ca="1" si="1"/>
        <v>42003</v>
      </c>
      <c r="S86" s="48"/>
    </row>
    <row r="87" spans="1:19" x14ac:dyDescent="0.25">
      <c r="A87" s="49">
        <v>3.3</v>
      </c>
      <c r="B87">
        <v>30974592</v>
      </c>
      <c r="C87">
        <v>32767</v>
      </c>
      <c r="D87">
        <v>1833358164</v>
      </c>
      <c r="E87">
        <v>30974592</v>
      </c>
      <c r="F87" t="s">
        <v>55</v>
      </c>
      <c r="G87" s="48">
        <v>40521.016076388885</v>
      </c>
      <c r="H87">
        <v>90</v>
      </c>
      <c r="I87" t="s">
        <v>68</v>
      </c>
      <c r="J87">
        <v>4</v>
      </c>
      <c r="K87" s="50">
        <f t="shared" ca="1" si="1"/>
        <v>42001</v>
      </c>
      <c r="S87" s="48"/>
    </row>
    <row r="88" spans="1:19" x14ac:dyDescent="0.25">
      <c r="A88" s="49">
        <v>4</v>
      </c>
      <c r="B88">
        <v>21250</v>
      </c>
      <c r="C88">
        <v>32767</v>
      </c>
      <c r="D88">
        <v>1896951342</v>
      </c>
      <c r="E88">
        <v>21250</v>
      </c>
      <c r="F88" t="s">
        <v>55</v>
      </c>
      <c r="G88" s="48">
        <v>40570.875671296293</v>
      </c>
      <c r="H88">
        <v>1</v>
      </c>
      <c r="I88" t="s">
        <v>57</v>
      </c>
      <c r="J88">
        <v>7</v>
      </c>
      <c r="K88" s="50">
        <f t="shared" ca="1" si="1"/>
        <v>41999</v>
      </c>
      <c r="S88" s="48"/>
    </row>
    <row r="89" spans="1:19" x14ac:dyDescent="0.25">
      <c r="A89" s="49">
        <v>4.0999999999999996</v>
      </c>
      <c r="B89">
        <v>27756</v>
      </c>
      <c r="C89">
        <v>32767</v>
      </c>
      <c r="D89">
        <v>1888516692</v>
      </c>
      <c r="E89">
        <v>27756</v>
      </c>
      <c r="F89" t="s">
        <v>55</v>
      </c>
      <c r="G89" s="48">
        <v>40564.895138888889</v>
      </c>
      <c r="H89">
        <v>90</v>
      </c>
      <c r="I89" t="s">
        <v>57</v>
      </c>
      <c r="J89">
        <v>7</v>
      </c>
      <c r="K89" s="50">
        <f t="shared" ca="1" si="1"/>
        <v>41997</v>
      </c>
      <c r="S89" s="48"/>
    </row>
    <row r="90" spans="1:19" x14ac:dyDescent="0.25">
      <c r="A90" s="49">
        <v>4.2</v>
      </c>
      <c r="B90">
        <v>2554</v>
      </c>
      <c r="C90">
        <v>32767</v>
      </c>
      <c r="D90">
        <v>1878829720</v>
      </c>
      <c r="E90">
        <v>2554</v>
      </c>
      <c r="F90" t="s">
        <v>55</v>
      </c>
      <c r="G90" s="48">
        <v>40556.789953703701</v>
      </c>
      <c r="H90">
        <v>14</v>
      </c>
      <c r="I90" t="s">
        <v>57</v>
      </c>
      <c r="J90">
        <v>7</v>
      </c>
      <c r="K90" s="50">
        <f t="shared" ca="1" si="1"/>
        <v>41995</v>
      </c>
      <c r="S90" s="48"/>
    </row>
    <row r="91" spans="1:19" x14ac:dyDescent="0.25">
      <c r="A91" s="49">
        <v>4.33</v>
      </c>
      <c r="B91">
        <v>58925705</v>
      </c>
      <c r="C91">
        <v>32767</v>
      </c>
      <c r="D91">
        <v>1894062078</v>
      </c>
      <c r="E91">
        <v>58951923</v>
      </c>
      <c r="F91" t="s">
        <v>55</v>
      </c>
      <c r="G91" s="48">
        <v>40568.66201388889</v>
      </c>
      <c r="H91">
        <v>90</v>
      </c>
      <c r="I91" t="s">
        <v>68</v>
      </c>
      <c r="J91">
        <v>4</v>
      </c>
      <c r="K91" s="50">
        <f t="shared" ca="1" si="1"/>
        <v>41993</v>
      </c>
      <c r="S91" s="48"/>
    </row>
    <row r="92" spans="1:19" x14ac:dyDescent="0.25">
      <c r="A92" s="49">
        <v>4.4000000000000004</v>
      </c>
      <c r="B92">
        <v>1080</v>
      </c>
      <c r="C92">
        <v>32767</v>
      </c>
      <c r="D92">
        <v>1892675365</v>
      </c>
      <c r="E92">
        <v>1080</v>
      </c>
      <c r="F92" t="s">
        <v>55</v>
      </c>
      <c r="G92" s="48">
        <v>40567.645150462966</v>
      </c>
      <c r="H92">
        <v>14</v>
      </c>
      <c r="I92" t="s">
        <v>57</v>
      </c>
      <c r="J92">
        <v>7</v>
      </c>
      <c r="K92" s="50">
        <f t="shared" ca="1" si="1"/>
        <v>41991</v>
      </c>
      <c r="S92" s="48"/>
    </row>
    <row r="93" spans="1:19" x14ac:dyDescent="0.25">
      <c r="A93" s="49">
        <v>4.99</v>
      </c>
      <c r="B93">
        <v>100000</v>
      </c>
      <c r="C93">
        <v>32767</v>
      </c>
      <c r="D93">
        <v>1894779613</v>
      </c>
      <c r="E93">
        <v>100000</v>
      </c>
      <c r="F93" t="s">
        <v>55</v>
      </c>
      <c r="G93" s="48">
        <v>40569.075949074075</v>
      </c>
      <c r="H93">
        <v>7</v>
      </c>
      <c r="I93" t="s">
        <v>57</v>
      </c>
      <c r="J93">
        <v>7</v>
      </c>
      <c r="K93" s="50">
        <f t="shared" ca="1" si="1"/>
        <v>41989</v>
      </c>
      <c r="S93" s="48"/>
    </row>
    <row r="94" spans="1:19" x14ac:dyDescent="0.25">
      <c r="A94" s="49">
        <v>5</v>
      </c>
      <c r="B94">
        <v>10753130</v>
      </c>
      <c r="C94">
        <v>32767</v>
      </c>
      <c r="D94">
        <v>1890887476</v>
      </c>
      <c r="E94">
        <v>10753130</v>
      </c>
      <c r="F94" t="s">
        <v>55</v>
      </c>
      <c r="G94" s="48">
        <v>40566.447893518518</v>
      </c>
      <c r="H94">
        <v>7</v>
      </c>
      <c r="I94" t="s">
        <v>68</v>
      </c>
      <c r="J94">
        <v>4</v>
      </c>
      <c r="K94" s="50">
        <f t="shared" ca="1" si="1"/>
        <v>41987</v>
      </c>
      <c r="S94" s="48"/>
    </row>
    <row r="95" spans="1:19" x14ac:dyDescent="0.25">
      <c r="A95" s="49">
        <v>8.99</v>
      </c>
      <c r="B95">
        <v>63045</v>
      </c>
      <c r="C95">
        <v>32767</v>
      </c>
      <c r="D95">
        <v>1893435579</v>
      </c>
      <c r="E95">
        <v>63045</v>
      </c>
      <c r="F95" t="s">
        <v>55</v>
      </c>
      <c r="G95" s="48">
        <v>40568.072141203702</v>
      </c>
      <c r="H95">
        <v>14</v>
      </c>
      <c r="I95" t="s">
        <v>57</v>
      </c>
      <c r="J95">
        <v>7</v>
      </c>
      <c r="K95" s="50">
        <f t="shared" ca="1" si="1"/>
        <v>41985</v>
      </c>
      <c r="S95" s="48"/>
    </row>
    <row r="96" spans="1:19" x14ac:dyDescent="0.25">
      <c r="A96" s="49">
        <v>9.31</v>
      </c>
      <c r="B96">
        <v>2078</v>
      </c>
      <c r="C96">
        <v>32767</v>
      </c>
      <c r="D96">
        <v>1895510286</v>
      </c>
      <c r="E96">
        <v>2078</v>
      </c>
      <c r="F96" t="s">
        <v>55</v>
      </c>
      <c r="G96" s="48">
        <v>40569.744375000002</v>
      </c>
      <c r="H96">
        <v>1</v>
      </c>
      <c r="I96" t="s">
        <v>63</v>
      </c>
      <c r="J96">
        <v>2</v>
      </c>
      <c r="K96" s="50">
        <f t="shared" ca="1" si="1"/>
        <v>41983</v>
      </c>
      <c r="S96" s="48"/>
    </row>
    <row r="97" spans="1:19" x14ac:dyDescent="0.25">
      <c r="A97" s="49">
        <v>11.89</v>
      </c>
      <c r="B97">
        <v>761997</v>
      </c>
      <c r="C97">
        <v>32767</v>
      </c>
      <c r="D97">
        <v>1801027589</v>
      </c>
      <c r="E97">
        <v>1000000</v>
      </c>
      <c r="F97" t="s">
        <v>55</v>
      </c>
      <c r="G97" s="48">
        <v>40492.820937500001</v>
      </c>
      <c r="H97">
        <v>90</v>
      </c>
      <c r="I97" t="s">
        <v>58</v>
      </c>
      <c r="J97">
        <v>7</v>
      </c>
      <c r="K97" s="50">
        <f t="shared" ca="1" si="1"/>
        <v>41981</v>
      </c>
      <c r="S97" s="48"/>
    </row>
    <row r="98" spans="1:19" x14ac:dyDescent="0.25">
      <c r="A98" s="49">
        <v>55</v>
      </c>
      <c r="B98">
        <v>56563</v>
      </c>
      <c r="C98">
        <v>32767</v>
      </c>
      <c r="D98">
        <v>1830468971</v>
      </c>
      <c r="E98">
        <v>56563</v>
      </c>
      <c r="F98" t="s">
        <v>55</v>
      </c>
      <c r="G98" s="48">
        <v>40518.514467592591</v>
      </c>
      <c r="H98">
        <v>90</v>
      </c>
      <c r="I98" t="s">
        <v>61</v>
      </c>
      <c r="J98">
        <v>3</v>
      </c>
      <c r="K98" s="50">
        <f t="shared" ca="1" si="1"/>
        <v>41979</v>
      </c>
      <c r="S98" s="48"/>
    </row>
    <row r="99" spans="1:19" x14ac:dyDescent="0.25">
      <c r="A99" s="49">
        <v>220</v>
      </c>
      <c r="B99">
        <v>2497</v>
      </c>
      <c r="C99">
        <v>32767</v>
      </c>
      <c r="D99">
        <v>1896746089</v>
      </c>
      <c r="E99">
        <v>2497</v>
      </c>
      <c r="F99" t="s">
        <v>55</v>
      </c>
      <c r="G99" s="48">
        <v>40570.764490740738</v>
      </c>
      <c r="H99">
        <v>1</v>
      </c>
      <c r="I99" t="s">
        <v>57</v>
      </c>
      <c r="J99">
        <v>7</v>
      </c>
      <c r="K99" s="50">
        <f t="shared" ca="1" si="1"/>
        <v>41977</v>
      </c>
      <c r="S99" s="48"/>
    </row>
    <row r="100" spans="1:19" x14ac:dyDescent="0.25">
      <c r="A100" s="49">
        <v>2.5</v>
      </c>
      <c r="B100">
        <v>155663566</v>
      </c>
      <c r="C100">
        <v>-1</v>
      </c>
      <c r="D100">
        <v>1878511634</v>
      </c>
      <c r="E100">
        <v>200000000</v>
      </c>
      <c r="F100" t="s">
        <v>56</v>
      </c>
      <c r="G100" s="48">
        <v>40568.847418981481</v>
      </c>
      <c r="H100">
        <v>90</v>
      </c>
      <c r="I100" t="s">
        <v>59</v>
      </c>
      <c r="J100">
        <v>8</v>
      </c>
      <c r="K100" s="50">
        <f t="shared" ca="1" si="1"/>
        <v>41975</v>
      </c>
      <c r="S100" s="48"/>
    </row>
    <row r="101" spans="1:19" x14ac:dyDescent="0.25">
      <c r="A101" s="49">
        <v>2.5</v>
      </c>
      <c r="B101">
        <v>19999999</v>
      </c>
      <c r="C101">
        <v>-1</v>
      </c>
      <c r="D101">
        <v>1897172325</v>
      </c>
      <c r="E101">
        <v>19999999</v>
      </c>
      <c r="F101" t="s">
        <v>56</v>
      </c>
      <c r="G101" s="48">
        <v>40571.000555555554</v>
      </c>
      <c r="H101">
        <v>90</v>
      </c>
      <c r="I101" t="s">
        <v>60</v>
      </c>
      <c r="J101">
        <v>6</v>
      </c>
      <c r="K101" s="50">
        <f t="shared" ca="1" si="1"/>
        <v>41973</v>
      </c>
      <c r="S101" s="48"/>
    </row>
    <row r="102" spans="1:19" x14ac:dyDescent="0.25">
      <c r="A102" s="49">
        <v>2.5</v>
      </c>
      <c r="B102">
        <v>4000000</v>
      </c>
      <c r="C102">
        <v>-1</v>
      </c>
      <c r="D102">
        <v>1897191827</v>
      </c>
      <c r="E102">
        <v>4000000</v>
      </c>
      <c r="F102" t="s">
        <v>56</v>
      </c>
      <c r="G102" s="48">
        <v>40571.013206018521</v>
      </c>
      <c r="H102">
        <v>7</v>
      </c>
      <c r="I102" t="s">
        <v>61</v>
      </c>
      <c r="J102">
        <v>6</v>
      </c>
      <c r="K102" s="50">
        <f t="shared" ca="1" si="1"/>
        <v>41971</v>
      </c>
      <c r="S102" s="48"/>
    </row>
    <row r="103" spans="1:19" x14ac:dyDescent="0.25">
      <c r="A103" s="49">
        <v>2.42</v>
      </c>
      <c r="B103">
        <v>42763898</v>
      </c>
      <c r="C103">
        <v>-1</v>
      </c>
      <c r="D103">
        <v>1897027219</v>
      </c>
      <c r="E103">
        <v>87000000</v>
      </c>
      <c r="F103" t="s">
        <v>56</v>
      </c>
      <c r="G103" s="48">
        <v>40570.916585648149</v>
      </c>
      <c r="H103">
        <v>90</v>
      </c>
      <c r="I103" t="s">
        <v>68</v>
      </c>
      <c r="J103">
        <v>4</v>
      </c>
      <c r="K103" s="50">
        <f t="shared" ca="1" si="1"/>
        <v>41969</v>
      </c>
      <c r="S103" s="48"/>
    </row>
    <row r="104" spans="1:19" x14ac:dyDescent="0.25">
      <c r="A104" s="49">
        <v>2.42</v>
      </c>
      <c r="B104">
        <v>49788759</v>
      </c>
      <c r="C104">
        <v>-1</v>
      </c>
      <c r="D104">
        <v>1897162062</v>
      </c>
      <c r="E104">
        <v>50000000</v>
      </c>
      <c r="F104" t="s">
        <v>56</v>
      </c>
      <c r="G104" s="48">
        <v>40570.993263888886</v>
      </c>
      <c r="H104">
        <v>90</v>
      </c>
      <c r="I104" t="s">
        <v>60</v>
      </c>
      <c r="J104">
        <v>3</v>
      </c>
      <c r="K104" s="50">
        <f t="shared" ca="1" si="1"/>
        <v>41967</v>
      </c>
      <c r="S104" s="48"/>
    </row>
    <row r="105" spans="1:19" x14ac:dyDescent="0.25">
      <c r="A105" s="49">
        <v>2.41</v>
      </c>
      <c r="B105">
        <v>88093827</v>
      </c>
      <c r="C105">
        <v>-1</v>
      </c>
      <c r="D105">
        <v>1896934983</v>
      </c>
      <c r="E105">
        <v>110000000</v>
      </c>
      <c r="F105" t="s">
        <v>56</v>
      </c>
      <c r="G105" s="48">
        <v>40570.8669212963</v>
      </c>
      <c r="H105">
        <v>90</v>
      </c>
      <c r="I105" t="s">
        <v>68</v>
      </c>
      <c r="J105">
        <v>4</v>
      </c>
      <c r="K105" s="50">
        <f t="shared" ca="1" si="1"/>
        <v>41965</v>
      </c>
      <c r="S105" s="48"/>
    </row>
    <row r="106" spans="1:19" x14ac:dyDescent="0.25">
      <c r="A106" s="49">
        <v>2.4</v>
      </c>
      <c r="B106">
        <v>42827899</v>
      </c>
      <c r="C106">
        <v>-1</v>
      </c>
      <c r="D106">
        <v>1893967844</v>
      </c>
      <c r="E106">
        <v>100000000</v>
      </c>
      <c r="F106" t="s">
        <v>56</v>
      </c>
      <c r="G106" s="48">
        <v>40569.479039351849</v>
      </c>
      <c r="H106">
        <v>90</v>
      </c>
      <c r="I106" t="s">
        <v>68</v>
      </c>
      <c r="J106">
        <v>4</v>
      </c>
      <c r="K106" s="50">
        <f t="shared" ca="1" si="1"/>
        <v>41963</v>
      </c>
      <c r="S106" s="48"/>
    </row>
    <row r="107" spans="1:19" x14ac:dyDescent="0.25">
      <c r="A107" s="49">
        <v>2.4</v>
      </c>
      <c r="B107">
        <v>82328327</v>
      </c>
      <c r="C107">
        <v>0</v>
      </c>
      <c r="D107">
        <v>1895724938</v>
      </c>
      <c r="E107">
        <v>100000000</v>
      </c>
      <c r="F107" t="s">
        <v>56</v>
      </c>
      <c r="G107" s="48">
        <v>40569.85837962963</v>
      </c>
      <c r="H107">
        <v>90</v>
      </c>
      <c r="I107" t="s">
        <v>68</v>
      </c>
      <c r="J107">
        <v>4</v>
      </c>
      <c r="K107" s="50">
        <f t="shared" ca="1" si="1"/>
        <v>41961</v>
      </c>
      <c r="S107" s="48"/>
    </row>
    <row r="108" spans="1:19" x14ac:dyDescent="0.25">
      <c r="A108" s="49">
        <v>2.4</v>
      </c>
      <c r="B108">
        <v>10000000</v>
      </c>
      <c r="C108">
        <v>-1</v>
      </c>
      <c r="D108">
        <v>1896372948</v>
      </c>
      <c r="E108">
        <v>10000000</v>
      </c>
      <c r="F108" t="s">
        <v>56</v>
      </c>
      <c r="G108" s="48">
        <v>40570.334861111114</v>
      </c>
      <c r="H108">
        <v>90</v>
      </c>
      <c r="I108" t="s">
        <v>62</v>
      </c>
      <c r="J108">
        <v>7</v>
      </c>
      <c r="K108" s="50">
        <f t="shared" ca="1" si="1"/>
        <v>41959</v>
      </c>
      <c r="S108" s="48"/>
    </row>
    <row r="109" spans="1:19" x14ac:dyDescent="0.25">
      <c r="A109" s="49">
        <v>2.4</v>
      </c>
      <c r="B109">
        <v>9785842</v>
      </c>
      <c r="C109">
        <v>-1</v>
      </c>
      <c r="D109">
        <v>1896872986</v>
      </c>
      <c r="E109">
        <v>10000000</v>
      </c>
      <c r="F109" t="s">
        <v>56</v>
      </c>
      <c r="G109" s="48">
        <v>40570.83425925926</v>
      </c>
      <c r="H109">
        <v>90</v>
      </c>
      <c r="I109" t="s">
        <v>63</v>
      </c>
      <c r="J109">
        <v>5</v>
      </c>
      <c r="K109" s="50">
        <f t="shared" ca="1" si="1"/>
        <v>41957</v>
      </c>
      <c r="S109" s="48"/>
    </row>
    <row r="110" spans="1:19" x14ac:dyDescent="0.25">
      <c r="A110" s="49">
        <v>2.4</v>
      </c>
      <c r="B110">
        <v>16996909</v>
      </c>
      <c r="C110">
        <v>-1</v>
      </c>
      <c r="D110">
        <v>1896943406</v>
      </c>
      <c r="E110">
        <v>20000000</v>
      </c>
      <c r="F110" t="s">
        <v>56</v>
      </c>
      <c r="G110" s="48">
        <v>40570.87127314815</v>
      </c>
      <c r="H110">
        <v>14</v>
      </c>
      <c r="I110" t="s">
        <v>64</v>
      </c>
      <c r="J110">
        <v>2</v>
      </c>
      <c r="K110" s="50">
        <f t="shared" ca="1" si="1"/>
        <v>41955</v>
      </c>
      <c r="S110" s="48"/>
    </row>
    <row r="111" spans="1:19" x14ac:dyDescent="0.25">
      <c r="A111" s="49">
        <v>2.4</v>
      </c>
      <c r="B111">
        <v>45064868</v>
      </c>
      <c r="C111">
        <v>-1</v>
      </c>
      <c r="D111">
        <v>1893637376</v>
      </c>
      <c r="E111">
        <v>50000000</v>
      </c>
      <c r="F111" t="s">
        <v>56</v>
      </c>
      <c r="G111" s="48">
        <v>40570.988993055558</v>
      </c>
      <c r="H111">
        <v>90</v>
      </c>
      <c r="I111" t="s">
        <v>68</v>
      </c>
      <c r="J111">
        <v>4</v>
      </c>
      <c r="K111" s="50">
        <f t="shared" ca="1" si="1"/>
        <v>41953</v>
      </c>
      <c r="S111" s="48"/>
    </row>
    <row r="112" spans="1:19" x14ac:dyDescent="0.25">
      <c r="A112" s="49">
        <v>2.39</v>
      </c>
      <c r="B112">
        <v>3080112</v>
      </c>
      <c r="C112">
        <v>-1</v>
      </c>
      <c r="D112">
        <v>1819341337</v>
      </c>
      <c r="E112">
        <v>5000000</v>
      </c>
      <c r="F112" t="s">
        <v>56</v>
      </c>
      <c r="G112" s="48">
        <v>40568.688194444447</v>
      </c>
      <c r="H112">
        <v>90</v>
      </c>
      <c r="I112" t="s">
        <v>62</v>
      </c>
      <c r="J112">
        <v>7</v>
      </c>
      <c r="K112" s="50">
        <f t="shared" ca="1" si="1"/>
        <v>41951</v>
      </c>
      <c r="S112" s="48"/>
    </row>
    <row r="113" spans="1:19" x14ac:dyDescent="0.25">
      <c r="A113" s="49">
        <v>2.38</v>
      </c>
      <c r="B113">
        <v>846694</v>
      </c>
      <c r="C113">
        <v>-1</v>
      </c>
      <c r="D113">
        <v>1883507771</v>
      </c>
      <c r="E113">
        <v>2500000</v>
      </c>
      <c r="F113" t="s">
        <v>56</v>
      </c>
      <c r="G113" s="48">
        <v>40561.130428240744</v>
      </c>
      <c r="H113">
        <v>30</v>
      </c>
      <c r="I113" t="s">
        <v>62</v>
      </c>
      <c r="J113">
        <v>7</v>
      </c>
      <c r="K113" s="50">
        <f t="shared" ca="1" si="1"/>
        <v>41949</v>
      </c>
      <c r="S113" s="48"/>
    </row>
    <row r="114" spans="1:19" x14ac:dyDescent="0.25">
      <c r="A114" s="49">
        <v>2.37</v>
      </c>
      <c r="B114">
        <v>6018902</v>
      </c>
      <c r="C114">
        <v>-1</v>
      </c>
      <c r="D114">
        <v>1876394572</v>
      </c>
      <c r="E114">
        <v>10000000</v>
      </c>
      <c r="F114" t="s">
        <v>56</v>
      </c>
      <c r="G114" s="48">
        <v>40560.605081018519</v>
      </c>
      <c r="H114">
        <v>90</v>
      </c>
      <c r="I114" t="s">
        <v>62</v>
      </c>
      <c r="J114">
        <v>7</v>
      </c>
      <c r="K114" s="50">
        <f t="shared" ca="1" si="1"/>
        <v>41947</v>
      </c>
      <c r="S114" s="48"/>
    </row>
    <row r="115" spans="1:19" x14ac:dyDescent="0.25">
      <c r="A115" s="49">
        <v>2.37</v>
      </c>
      <c r="B115">
        <v>838733</v>
      </c>
      <c r="C115">
        <v>0</v>
      </c>
      <c r="D115">
        <v>1880612807</v>
      </c>
      <c r="E115">
        <v>2000000</v>
      </c>
      <c r="F115" t="s">
        <v>56</v>
      </c>
      <c r="G115" s="48">
        <v>40570.102349537039</v>
      </c>
      <c r="H115">
        <v>90</v>
      </c>
      <c r="I115" t="s">
        <v>64</v>
      </c>
      <c r="J115">
        <v>5</v>
      </c>
      <c r="K115" s="50">
        <f t="shared" ca="1" si="1"/>
        <v>41945</v>
      </c>
      <c r="S115" s="48"/>
    </row>
    <row r="116" spans="1:19" x14ac:dyDescent="0.25">
      <c r="A116" s="49">
        <v>2.37</v>
      </c>
      <c r="B116">
        <v>5122328</v>
      </c>
      <c r="C116">
        <v>-1</v>
      </c>
      <c r="D116">
        <v>1887515131</v>
      </c>
      <c r="E116">
        <v>10000000</v>
      </c>
      <c r="F116" t="s">
        <v>56</v>
      </c>
      <c r="G116" s="48">
        <v>40570.857152777775</v>
      </c>
      <c r="H116">
        <v>90</v>
      </c>
      <c r="I116" t="s">
        <v>65</v>
      </c>
      <c r="J116">
        <v>4</v>
      </c>
      <c r="K116" s="50">
        <f t="shared" ca="1" si="1"/>
        <v>41943</v>
      </c>
      <c r="S116" s="48"/>
    </row>
    <row r="117" spans="1:19" x14ac:dyDescent="0.25">
      <c r="A117" s="49">
        <v>2.36</v>
      </c>
      <c r="B117">
        <v>216846536</v>
      </c>
      <c r="C117">
        <v>1</v>
      </c>
      <c r="D117">
        <v>1891259851</v>
      </c>
      <c r="E117">
        <v>262000000</v>
      </c>
      <c r="F117" t="s">
        <v>56</v>
      </c>
      <c r="G117" s="48">
        <v>40569.931354166663</v>
      </c>
      <c r="H117">
        <v>90</v>
      </c>
      <c r="I117" t="s">
        <v>65</v>
      </c>
      <c r="J117">
        <v>4</v>
      </c>
      <c r="K117" s="50">
        <f t="shared" ca="1" si="1"/>
        <v>41941</v>
      </c>
      <c r="S117" s="48"/>
    </row>
    <row r="118" spans="1:19" x14ac:dyDescent="0.25">
      <c r="A118" s="49">
        <v>2.35</v>
      </c>
      <c r="B118">
        <v>25000000</v>
      </c>
      <c r="C118">
        <v>-1</v>
      </c>
      <c r="D118">
        <v>1895794752</v>
      </c>
      <c r="E118">
        <v>25000000</v>
      </c>
      <c r="F118" t="s">
        <v>56</v>
      </c>
      <c r="G118" s="48">
        <v>40569.894131944442</v>
      </c>
      <c r="H118">
        <v>7</v>
      </c>
      <c r="I118" t="s">
        <v>65</v>
      </c>
      <c r="J118">
        <v>4</v>
      </c>
      <c r="K118" s="50">
        <f t="shared" ca="1" si="1"/>
        <v>41939</v>
      </c>
      <c r="S118" s="48"/>
    </row>
    <row r="119" spans="1:19" x14ac:dyDescent="0.25">
      <c r="A119" s="49">
        <v>2.34</v>
      </c>
      <c r="B119">
        <v>173946899</v>
      </c>
      <c r="C119">
        <v>-1</v>
      </c>
      <c r="D119">
        <v>1888874876</v>
      </c>
      <c r="E119">
        <v>300000000</v>
      </c>
      <c r="F119" t="s">
        <v>56</v>
      </c>
      <c r="G119" s="48">
        <v>40568.978750000002</v>
      </c>
      <c r="H119">
        <v>30</v>
      </c>
      <c r="I119" t="s">
        <v>68</v>
      </c>
      <c r="J119">
        <v>4</v>
      </c>
      <c r="K119" s="50">
        <f t="shared" ca="1" si="1"/>
        <v>41937</v>
      </c>
      <c r="S119" s="48"/>
    </row>
    <row r="120" spans="1:19" x14ac:dyDescent="0.25">
      <c r="A120" s="49">
        <v>2.33</v>
      </c>
      <c r="B120">
        <v>13268442</v>
      </c>
      <c r="C120">
        <v>-1</v>
      </c>
      <c r="D120">
        <v>1790355055</v>
      </c>
      <c r="E120">
        <v>40000000</v>
      </c>
      <c r="F120" t="s">
        <v>56</v>
      </c>
      <c r="G120" s="48">
        <v>40553.270775462966</v>
      </c>
      <c r="H120">
        <v>90</v>
      </c>
      <c r="I120" t="s">
        <v>62</v>
      </c>
      <c r="J120">
        <v>7</v>
      </c>
      <c r="K120" s="50">
        <f t="shared" ca="1" si="1"/>
        <v>41935</v>
      </c>
      <c r="S120" s="48"/>
    </row>
    <row r="121" spans="1:19" x14ac:dyDescent="0.25">
      <c r="A121" s="49">
        <v>2.3199999999999998</v>
      </c>
      <c r="B121">
        <v>10984519</v>
      </c>
      <c r="C121">
        <v>-1</v>
      </c>
      <c r="D121">
        <v>1891579917</v>
      </c>
      <c r="E121">
        <v>400000000</v>
      </c>
      <c r="F121" t="s">
        <v>56</v>
      </c>
      <c r="G121" s="48">
        <v>40566.824189814812</v>
      </c>
      <c r="H121">
        <v>90</v>
      </c>
      <c r="I121" t="s">
        <v>57</v>
      </c>
      <c r="J121">
        <v>1</v>
      </c>
      <c r="K121" s="50">
        <f t="shared" ca="1" si="1"/>
        <v>41933</v>
      </c>
      <c r="S121" s="48"/>
    </row>
    <row r="122" spans="1:19" x14ac:dyDescent="0.25">
      <c r="A122" s="49">
        <v>2.31</v>
      </c>
      <c r="B122">
        <v>17872133</v>
      </c>
      <c r="C122">
        <v>-1</v>
      </c>
      <c r="D122">
        <v>1858051535</v>
      </c>
      <c r="E122">
        <v>800000000</v>
      </c>
      <c r="F122" t="s">
        <v>56</v>
      </c>
      <c r="G122" s="48">
        <v>40566.922337962962</v>
      </c>
      <c r="H122">
        <v>90</v>
      </c>
      <c r="I122" t="s">
        <v>66</v>
      </c>
      <c r="J122">
        <v>5</v>
      </c>
      <c r="K122" s="50">
        <f t="shared" ca="1" si="1"/>
        <v>41931</v>
      </c>
      <c r="S122" s="48"/>
    </row>
    <row r="123" spans="1:19" x14ac:dyDescent="0.25">
      <c r="A123" s="49">
        <v>2.31</v>
      </c>
      <c r="B123">
        <v>3843206</v>
      </c>
      <c r="C123">
        <v>0</v>
      </c>
      <c r="D123">
        <v>1897185361</v>
      </c>
      <c r="E123">
        <v>4000000</v>
      </c>
      <c r="F123" t="s">
        <v>56</v>
      </c>
      <c r="G123" s="48">
        <v>40571.009085648147</v>
      </c>
      <c r="H123">
        <v>3</v>
      </c>
      <c r="I123" t="s">
        <v>63</v>
      </c>
      <c r="J123">
        <v>2</v>
      </c>
      <c r="K123" s="50">
        <f t="shared" ca="1" si="1"/>
        <v>41929</v>
      </c>
      <c r="S123" s="48"/>
    </row>
    <row r="124" spans="1:19" x14ac:dyDescent="0.25">
      <c r="A124" s="49">
        <v>2.2999999999999998</v>
      </c>
      <c r="B124">
        <v>103892897</v>
      </c>
      <c r="C124">
        <v>0</v>
      </c>
      <c r="D124">
        <v>1883563816</v>
      </c>
      <c r="E124">
        <v>300000000</v>
      </c>
      <c r="F124" t="s">
        <v>56</v>
      </c>
      <c r="G124" s="48">
        <v>40569.642152777778</v>
      </c>
      <c r="H124">
        <v>90</v>
      </c>
      <c r="I124" t="s">
        <v>63</v>
      </c>
      <c r="J124">
        <v>2</v>
      </c>
      <c r="K124" s="50">
        <f t="shared" ca="1" si="1"/>
        <v>41927</v>
      </c>
      <c r="S124" s="48"/>
    </row>
    <row r="125" spans="1:19" x14ac:dyDescent="0.25">
      <c r="A125" s="49">
        <v>2.29</v>
      </c>
      <c r="B125">
        <v>6577104</v>
      </c>
      <c r="C125">
        <v>-1</v>
      </c>
      <c r="D125">
        <v>1890663670</v>
      </c>
      <c r="E125">
        <v>8335395</v>
      </c>
      <c r="F125" t="s">
        <v>56</v>
      </c>
      <c r="G125" s="48">
        <v>40566.276979166665</v>
      </c>
      <c r="H125">
        <v>90</v>
      </c>
      <c r="I125" t="s">
        <v>68</v>
      </c>
      <c r="J125">
        <v>4</v>
      </c>
      <c r="K125" s="50">
        <f t="shared" ca="1" si="1"/>
        <v>41925</v>
      </c>
      <c r="S125" s="48"/>
    </row>
    <row r="126" spans="1:19" x14ac:dyDescent="0.25">
      <c r="A126" s="49">
        <v>2.29</v>
      </c>
      <c r="B126">
        <v>32392786</v>
      </c>
      <c r="C126">
        <v>2</v>
      </c>
      <c r="D126">
        <v>1896378816</v>
      </c>
      <c r="E126">
        <v>90000000</v>
      </c>
      <c r="F126" t="s">
        <v>56</v>
      </c>
      <c r="G126" s="48">
        <v>40570.340509259258</v>
      </c>
      <c r="H126">
        <v>90</v>
      </c>
      <c r="I126" t="s">
        <v>66</v>
      </c>
      <c r="J126">
        <v>4</v>
      </c>
      <c r="K126" s="50">
        <f t="shared" ca="1" si="1"/>
        <v>41923</v>
      </c>
      <c r="S126" s="48"/>
    </row>
    <row r="127" spans="1:19" x14ac:dyDescent="0.25">
      <c r="A127" s="49">
        <v>2.2799</v>
      </c>
      <c r="B127">
        <v>145716709</v>
      </c>
      <c r="C127">
        <v>-1</v>
      </c>
      <c r="D127">
        <v>1893857387</v>
      </c>
      <c r="E127">
        <v>150150150</v>
      </c>
      <c r="F127" t="s">
        <v>56</v>
      </c>
      <c r="G127" s="48">
        <v>40570.223611111112</v>
      </c>
      <c r="H127">
        <v>7</v>
      </c>
      <c r="I127" t="s">
        <v>65</v>
      </c>
      <c r="J127">
        <v>3</v>
      </c>
      <c r="K127" s="50">
        <f t="shared" ca="1" si="1"/>
        <v>41921</v>
      </c>
      <c r="S127" s="48"/>
    </row>
    <row r="128" spans="1:19" x14ac:dyDescent="0.25">
      <c r="A128" s="49">
        <v>2.2599</v>
      </c>
      <c r="B128">
        <v>1288838</v>
      </c>
      <c r="C128">
        <v>-1</v>
      </c>
      <c r="D128">
        <v>1890650632</v>
      </c>
      <c r="E128">
        <v>2400000</v>
      </c>
      <c r="F128" t="s">
        <v>56</v>
      </c>
      <c r="G128" s="48">
        <v>40570.344629629632</v>
      </c>
      <c r="H128">
        <v>90</v>
      </c>
      <c r="I128" t="s">
        <v>64</v>
      </c>
      <c r="J128">
        <v>2</v>
      </c>
      <c r="K128" s="50">
        <f t="shared" ca="1" si="1"/>
        <v>41919</v>
      </c>
      <c r="S128" s="48"/>
    </row>
    <row r="129" spans="1:19" x14ac:dyDescent="0.25">
      <c r="A129" s="49">
        <v>2.25</v>
      </c>
      <c r="B129">
        <v>1022000000</v>
      </c>
      <c r="C129">
        <v>-1</v>
      </c>
      <c r="D129">
        <v>1875656074</v>
      </c>
      <c r="E129">
        <v>1022000000</v>
      </c>
      <c r="F129" t="s">
        <v>56</v>
      </c>
      <c r="G129" s="48">
        <v>40567.070486111108</v>
      </c>
      <c r="H129">
        <v>90</v>
      </c>
      <c r="I129" t="s">
        <v>68</v>
      </c>
      <c r="J129">
        <v>4</v>
      </c>
      <c r="K129" s="50">
        <f t="shared" ca="1" si="1"/>
        <v>41917</v>
      </c>
      <c r="S129" s="48"/>
    </row>
    <row r="130" spans="1:19" x14ac:dyDescent="0.25">
      <c r="A130" s="49">
        <v>2.25</v>
      </c>
      <c r="B130">
        <v>15359195</v>
      </c>
      <c r="C130">
        <v>0</v>
      </c>
      <c r="D130">
        <v>1889623543</v>
      </c>
      <c r="E130">
        <v>50000000</v>
      </c>
      <c r="F130" t="s">
        <v>56</v>
      </c>
      <c r="G130" s="48">
        <v>40569.234178240738</v>
      </c>
      <c r="H130">
        <v>90</v>
      </c>
      <c r="I130" t="s">
        <v>64</v>
      </c>
      <c r="J130">
        <v>2</v>
      </c>
      <c r="K130" s="50">
        <f t="shared" ca="1" si="1"/>
        <v>41915</v>
      </c>
      <c r="S130" s="48"/>
    </row>
    <row r="131" spans="1:19" x14ac:dyDescent="0.25">
      <c r="A131" s="49">
        <v>2.2400000000000002</v>
      </c>
      <c r="B131">
        <v>9477950</v>
      </c>
      <c r="C131">
        <v>-1</v>
      </c>
      <c r="D131">
        <v>1894018815</v>
      </c>
      <c r="E131">
        <v>10000000</v>
      </c>
      <c r="F131" t="s">
        <v>56</v>
      </c>
      <c r="G131" s="48">
        <v>40568.633368055554</v>
      </c>
      <c r="H131">
        <v>90</v>
      </c>
      <c r="I131" t="s">
        <v>64</v>
      </c>
      <c r="J131">
        <v>2</v>
      </c>
      <c r="K131" s="50">
        <f t="shared" ca="1" si="1"/>
        <v>41913</v>
      </c>
      <c r="S131" s="48"/>
    </row>
    <row r="132" spans="1:19" x14ac:dyDescent="0.25">
      <c r="A132" s="49">
        <v>2.2400000000000002</v>
      </c>
      <c r="B132">
        <v>16707764</v>
      </c>
      <c r="C132">
        <v>-1</v>
      </c>
      <c r="D132">
        <v>1894791644</v>
      </c>
      <c r="E132">
        <v>20000000</v>
      </c>
      <c r="F132" t="s">
        <v>56</v>
      </c>
      <c r="G132" s="48">
        <v>40569.085196759261</v>
      </c>
      <c r="H132">
        <v>90</v>
      </c>
      <c r="I132" t="s">
        <v>65</v>
      </c>
      <c r="J132">
        <v>3</v>
      </c>
      <c r="K132" s="50">
        <f t="shared" ref="K132:K195" ca="1" si="2">+K131-2</f>
        <v>41911</v>
      </c>
      <c r="S132" s="48"/>
    </row>
    <row r="133" spans="1:19" x14ac:dyDescent="0.25">
      <c r="A133" s="49">
        <v>2.23</v>
      </c>
      <c r="B133">
        <v>2359000</v>
      </c>
      <c r="C133">
        <v>-1</v>
      </c>
      <c r="D133">
        <v>1890759021</v>
      </c>
      <c r="E133">
        <v>6000000</v>
      </c>
      <c r="F133" t="s">
        <v>56</v>
      </c>
      <c r="G133" s="48">
        <v>40566.356759259259</v>
      </c>
      <c r="H133">
        <v>90</v>
      </c>
      <c r="I133" t="s">
        <v>57</v>
      </c>
      <c r="J133">
        <v>1</v>
      </c>
      <c r="K133" s="50">
        <f t="shared" ca="1" si="2"/>
        <v>41909</v>
      </c>
      <c r="S133" s="48"/>
    </row>
    <row r="134" spans="1:19" x14ac:dyDescent="0.25">
      <c r="A134" s="49">
        <v>2.23</v>
      </c>
      <c r="B134">
        <v>300000000</v>
      </c>
      <c r="C134">
        <v>-1</v>
      </c>
      <c r="D134">
        <v>1891360423</v>
      </c>
      <c r="E134">
        <v>300000000</v>
      </c>
      <c r="F134" t="s">
        <v>56</v>
      </c>
      <c r="G134" s="48">
        <v>40566.727870370371</v>
      </c>
      <c r="H134">
        <v>90</v>
      </c>
      <c r="I134" t="s">
        <v>68</v>
      </c>
      <c r="J134">
        <v>4</v>
      </c>
      <c r="K134" s="50">
        <f t="shared" ca="1" si="2"/>
        <v>41907</v>
      </c>
      <c r="S134" s="48"/>
    </row>
    <row r="135" spans="1:19" x14ac:dyDescent="0.25">
      <c r="A135" s="49">
        <v>2.2200000000000002</v>
      </c>
      <c r="B135">
        <v>23237209</v>
      </c>
      <c r="C135">
        <v>0</v>
      </c>
      <c r="D135">
        <v>1896292344</v>
      </c>
      <c r="E135">
        <v>25000000</v>
      </c>
      <c r="F135" t="s">
        <v>56</v>
      </c>
      <c r="G135" s="48">
        <v>40570.984282407408</v>
      </c>
      <c r="H135">
        <v>90</v>
      </c>
      <c r="I135" t="s">
        <v>61</v>
      </c>
      <c r="J135">
        <v>4</v>
      </c>
      <c r="K135" s="50">
        <f t="shared" ca="1" si="2"/>
        <v>41905</v>
      </c>
      <c r="S135" s="48"/>
    </row>
    <row r="136" spans="1:19" x14ac:dyDescent="0.25">
      <c r="A136" s="49">
        <v>2.21</v>
      </c>
      <c r="B136">
        <v>45608691</v>
      </c>
      <c r="C136">
        <v>0</v>
      </c>
      <c r="D136">
        <v>1894972355</v>
      </c>
      <c r="E136">
        <v>50000000</v>
      </c>
      <c r="F136" t="s">
        <v>56</v>
      </c>
      <c r="G136" s="48">
        <v>40569.634548611109</v>
      </c>
      <c r="H136">
        <v>90</v>
      </c>
      <c r="I136" t="s">
        <v>64</v>
      </c>
      <c r="J136">
        <v>2</v>
      </c>
      <c r="K136" s="50">
        <f t="shared" ca="1" si="2"/>
        <v>41903</v>
      </c>
      <c r="S136" s="48"/>
    </row>
    <row r="137" spans="1:19" x14ac:dyDescent="0.25">
      <c r="A137" s="49">
        <v>2.21</v>
      </c>
      <c r="B137">
        <v>55767465</v>
      </c>
      <c r="C137">
        <v>0</v>
      </c>
      <c r="D137">
        <v>1892041238</v>
      </c>
      <c r="E137">
        <v>80000000</v>
      </c>
      <c r="F137" t="s">
        <v>56</v>
      </c>
      <c r="G137" s="48">
        <v>40570.262546296297</v>
      </c>
      <c r="H137">
        <v>30</v>
      </c>
      <c r="I137" t="s">
        <v>61</v>
      </c>
      <c r="J137">
        <v>4</v>
      </c>
      <c r="K137" s="50">
        <f t="shared" ca="1" si="2"/>
        <v>41901</v>
      </c>
      <c r="S137" s="48"/>
    </row>
    <row r="138" spans="1:19" x14ac:dyDescent="0.25">
      <c r="A138" s="49">
        <v>2.21</v>
      </c>
      <c r="B138">
        <v>92840859</v>
      </c>
      <c r="C138">
        <v>0</v>
      </c>
      <c r="D138">
        <v>1874623056</v>
      </c>
      <c r="E138">
        <v>100000000</v>
      </c>
      <c r="F138" t="s">
        <v>56</v>
      </c>
      <c r="G138" s="48">
        <v>40570.262673611112</v>
      </c>
      <c r="H138">
        <v>30</v>
      </c>
      <c r="I138" t="s">
        <v>61</v>
      </c>
      <c r="J138">
        <v>4</v>
      </c>
      <c r="K138" s="50">
        <f t="shared" ca="1" si="2"/>
        <v>41899</v>
      </c>
      <c r="S138" s="48"/>
    </row>
    <row r="139" spans="1:19" x14ac:dyDescent="0.25">
      <c r="A139" s="49">
        <v>2.21</v>
      </c>
      <c r="B139">
        <v>9701</v>
      </c>
      <c r="C139">
        <v>-1</v>
      </c>
      <c r="D139">
        <v>1896333032</v>
      </c>
      <c r="E139">
        <v>250000</v>
      </c>
      <c r="F139" t="s">
        <v>56</v>
      </c>
      <c r="G139" s="48">
        <v>40570.290266203701</v>
      </c>
      <c r="H139">
        <v>7</v>
      </c>
      <c r="I139" t="s">
        <v>58</v>
      </c>
      <c r="J139">
        <v>6</v>
      </c>
      <c r="K139" s="50">
        <f t="shared" ca="1" si="2"/>
        <v>41897</v>
      </c>
      <c r="S139" s="48"/>
    </row>
    <row r="140" spans="1:19" x14ac:dyDescent="0.25">
      <c r="A140" s="49">
        <v>2.2000000000000002</v>
      </c>
      <c r="B140">
        <v>1165631</v>
      </c>
      <c r="C140">
        <v>-1</v>
      </c>
      <c r="D140">
        <v>1893184522</v>
      </c>
      <c r="E140">
        <v>3000000</v>
      </c>
      <c r="F140" t="s">
        <v>56</v>
      </c>
      <c r="G140" s="48">
        <v>40567.919178240743</v>
      </c>
      <c r="H140">
        <v>3</v>
      </c>
      <c r="I140" t="s">
        <v>58</v>
      </c>
      <c r="J140">
        <v>6</v>
      </c>
      <c r="K140" s="50">
        <f t="shared" ca="1" si="2"/>
        <v>41895</v>
      </c>
      <c r="S140" s="48"/>
    </row>
    <row r="141" spans="1:19" x14ac:dyDescent="0.25">
      <c r="A141" s="49">
        <v>2.2000000000000002</v>
      </c>
      <c r="B141">
        <v>99533847</v>
      </c>
      <c r="C141">
        <v>-1</v>
      </c>
      <c r="D141">
        <v>1895026851</v>
      </c>
      <c r="E141">
        <v>100000000</v>
      </c>
      <c r="F141" t="s">
        <v>56</v>
      </c>
      <c r="G141" s="48">
        <v>40569.292754629627</v>
      </c>
      <c r="H141">
        <v>90</v>
      </c>
      <c r="I141" t="s">
        <v>64</v>
      </c>
      <c r="J141">
        <v>2</v>
      </c>
      <c r="K141" s="50">
        <f t="shared" ca="1" si="2"/>
        <v>41893</v>
      </c>
      <c r="S141" s="48"/>
    </row>
    <row r="142" spans="1:19" x14ac:dyDescent="0.25">
      <c r="A142" s="49">
        <v>2.19</v>
      </c>
      <c r="B142">
        <v>105999</v>
      </c>
      <c r="C142">
        <v>-1</v>
      </c>
      <c r="D142">
        <v>1889282651</v>
      </c>
      <c r="E142">
        <v>10000000</v>
      </c>
      <c r="F142" t="s">
        <v>56</v>
      </c>
      <c r="G142" s="48">
        <v>40567.995486111111</v>
      </c>
      <c r="H142">
        <v>30</v>
      </c>
      <c r="I142" t="s">
        <v>67</v>
      </c>
      <c r="J142">
        <v>7</v>
      </c>
      <c r="K142" s="50">
        <f t="shared" ca="1" si="2"/>
        <v>41891</v>
      </c>
      <c r="S142" s="48"/>
    </row>
    <row r="143" spans="1:19" x14ac:dyDescent="0.25">
      <c r="A143" s="49">
        <v>2.1800000000000002</v>
      </c>
      <c r="B143">
        <v>250155595</v>
      </c>
      <c r="C143">
        <v>-1</v>
      </c>
      <c r="D143">
        <v>1871070131</v>
      </c>
      <c r="E143">
        <v>300000000</v>
      </c>
      <c r="F143" t="s">
        <v>56</v>
      </c>
      <c r="G143" s="48">
        <v>40550.869062500002</v>
      </c>
      <c r="H143">
        <v>90</v>
      </c>
      <c r="I143" t="s">
        <v>57</v>
      </c>
      <c r="J143">
        <v>1</v>
      </c>
      <c r="K143" s="50">
        <f t="shared" ca="1" si="2"/>
        <v>41889</v>
      </c>
      <c r="S143" s="48"/>
    </row>
    <row r="144" spans="1:19" x14ac:dyDescent="0.25">
      <c r="A144" s="49">
        <v>2.1800000000000002</v>
      </c>
      <c r="B144">
        <v>112947789</v>
      </c>
      <c r="C144">
        <v>1</v>
      </c>
      <c r="D144">
        <v>1892502326</v>
      </c>
      <c r="E144">
        <v>180000000</v>
      </c>
      <c r="F144" t="s">
        <v>56</v>
      </c>
      <c r="G144" s="48">
        <v>40567.486759259256</v>
      </c>
      <c r="H144">
        <v>90</v>
      </c>
      <c r="I144" t="s">
        <v>67</v>
      </c>
      <c r="J144">
        <v>6</v>
      </c>
      <c r="K144" s="50">
        <f t="shared" ca="1" si="2"/>
        <v>41887</v>
      </c>
      <c r="S144" s="48"/>
    </row>
    <row r="145" spans="1:19" x14ac:dyDescent="0.25">
      <c r="A145" s="49">
        <v>2.17</v>
      </c>
      <c r="B145">
        <v>966545</v>
      </c>
      <c r="C145">
        <v>0</v>
      </c>
      <c r="D145">
        <v>1881017225</v>
      </c>
      <c r="E145">
        <v>93000000</v>
      </c>
      <c r="F145" t="s">
        <v>56</v>
      </c>
      <c r="G145" s="48">
        <v>40566.488206018519</v>
      </c>
      <c r="H145">
        <v>90</v>
      </c>
      <c r="I145" t="s">
        <v>67</v>
      </c>
      <c r="J145">
        <v>5</v>
      </c>
      <c r="K145" s="50">
        <f t="shared" ca="1" si="2"/>
        <v>41885</v>
      </c>
      <c r="S145" s="48"/>
    </row>
    <row r="146" spans="1:19" x14ac:dyDescent="0.25">
      <c r="A146" s="49">
        <v>2.17</v>
      </c>
      <c r="B146">
        <v>6646694</v>
      </c>
      <c r="C146">
        <v>-1</v>
      </c>
      <c r="D146">
        <v>1882440527</v>
      </c>
      <c r="E146">
        <v>10000000</v>
      </c>
      <c r="F146" t="s">
        <v>56</v>
      </c>
      <c r="G146" s="48">
        <v>40568.124108796299</v>
      </c>
      <c r="H146">
        <v>90</v>
      </c>
      <c r="I146" t="s">
        <v>65</v>
      </c>
      <c r="J146">
        <v>3</v>
      </c>
      <c r="K146" s="50">
        <f t="shared" ca="1" si="2"/>
        <v>41883</v>
      </c>
      <c r="S146" s="48"/>
    </row>
    <row r="147" spans="1:19" x14ac:dyDescent="0.25">
      <c r="A147" s="49">
        <v>2.17</v>
      </c>
      <c r="B147">
        <v>16200000</v>
      </c>
      <c r="C147">
        <v>0</v>
      </c>
      <c r="D147">
        <v>1896416499</v>
      </c>
      <c r="E147">
        <v>16200000</v>
      </c>
      <c r="F147" t="s">
        <v>56</v>
      </c>
      <c r="G147" s="48">
        <v>40570.381782407407</v>
      </c>
      <c r="H147">
        <v>90</v>
      </c>
      <c r="I147" t="s">
        <v>67</v>
      </c>
      <c r="J147">
        <v>5</v>
      </c>
      <c r="K147" s="50">
        <f t="shared" ca="1" si="2"/>
        <v>41881</v>
      </c>
      <c r="S147" s="48"/>
    </row>
    <row r="148" spans="1:19" x14ac:dyDescent="0.25">
      <c r="A148" s="49">
        <v>2.16</v>
      </c>
      <c r="B148">
        <v>2843927</v>
      </c>
      <c r="C148">
        <v>-1</v>
      </c>
      <c r="D148">
        <v>1889334508</v>
      </c>
      <c r="E148">
        <v>10000000</v>
      </c>
      <c r="F148" t="s">
        <v>56</v>
      </c>
      <c r="G148" s="48">
        <v>40565.521574074075</v>
      </c>
      <c r="H148">
        <v>90</v>
      </c>
      <c r="I148" t="s">
        <v>67</v>
      </c>
      <c r="J148">
        <v>5</v>
      </c>
      <c r="K148" s="50">
        <f t="shared" ca="1" si="2"/>
        <v>41879</v>
      </c>
      <c r="S148" s="48"/>
    </row>
    <row r="149" spans="1:19" x14ac:dyDescent="0.25">
      <c r="A149" s="49">
        <v>2.14</v>
      </c>
      <c r="B149">
        <v>1315222</v>
      </c>
      <c r="C149">
        <v>0</v>
      </c>
      <c r="D149">
        <v>1895864989</v>
      </c>
      <c r="E149">
        <v>2000000</v>
      </c>
      <c r="F149" t="s">
        <v>56</v>
      </c>
      <c r="G149" s="48">
        <v>40570.999722222223</v>
      </c>
      <c r="H149">
        <v>90</v>
      </c>
      <c r="I149" t="s">
        <v>58</v>
      </c>
      <c r="J149">
        <v>6</v>
      </c>
      <c r="K149" s="50">
        <f t="shared" ca="1" si="2"/>
        <v>41877</v>
      </c>
      <c r="S149" s="48"/>
    </row>
    <row r="150" spans="1:19" x14ac:dyDescent="0.25">
      <c r="A150" s="49">
        <v>2.13</v>
      </c>
      <c r="B150">
        <v>91479082</v>
      </c>
      <c r="C150">
        <v>-1</v>
      </c>
      <c r="D150">
        <v>1889107327</v>
      </c>
      <c r="E150">
        <v>100000000</v>
      </c>
      <c r="F150" t="s">
        <v>56</v>
      </c>
      <c r="G150" s="48">
        <v>40570.901226851849</v>
      </c>
      <c r="H150">
        <v>30</v>
      </c>
      <c r="I150" t="s">
        <v>68</v>
      </c>
      <c r="J150">
        <v>5</v>
      </c>
      <c r="K150" s="50">
        <f t="shared" ca="1" si="2"/>
        <v>41875</v>
      </c>
      <c r="S150" s="48"/>
    </row>
    <row r="151" spans="1:19" x14ac:dyDescent="0.25">
      <c r="A151" s="49">
        <v>2.13</v>
      </c>
      <c r="B151">
        <v>94106454</v>
      </c>
      <c r="C151">
        <v>32767</v>
      </c>
      <c r="D151">
        <v>1896389335</v>
      </c>
      <c r="E151">
        <v>100000000</v>
      </c>
      <c r="F151" t="s">
        <v>56</v>
      </c>
      <c r="G151" s="48">
        <v>40570.923379629632</v>
      </c>
      <c r="H151">
        <v>90</v>
      </c>
      <c r="I151" t="s">
        <v>64</v>
      </c>
      <c r="J151">
        <v>2</v>
      </c>
      <c r="K151" s="50">
        <f t="shared" ca="1" si="2"/>
        <v>41873</v>
      </c>
      <c r="S151" s="48"/>
    </row>
    <row r="152" spans="1:19" x14ac:dyDescent="0.25">
      <c r="A152" s="49">
        <v>2.12</v>
      </c>
      <c r="B152">
        <v>11064689</v>
      </c>
      <c r="C152">
        <v>0</v>
      </c>
      <c r="D152">
        <v>1883188407</v>
      </c>
      <c r="E152">
        <v>50000000</v>
      </c>
      <c r="F152" t="s">
        <v>56</v>
      </c>
      <c r="G152" s="48">
        <v>40570.316157407404</v>
      </c>
      <c r="H152">
        <v>90</v>
      </c>
      <c r="I152" t="s">
        <v>61</v>
      </c>
      <c r="J152">
        <v>4</v>
      </c>
      <c r="K152" s="50">
        <f t="shared" ca="1" si="2"/>
        <v>41871</v>
      </c>
      <c r="S152" s="48"/>
    </row>
    <row r="153" spans="1:19" x14ac:dyDescent="0.25">
      <c r="A153" s="49">
        <v>2.12</v>
      </c>
      <c r="B153">
        <v>94916084</v>
      </c>
      <c r="C153">
        <v>5</v>
      </c>
      <c r="D153">
        <v>1890506540</v>
      </c>
      <c r="E153">
        <v>500000000</v>
      </c>
      <c r="F153" t="s">
        <v>56</v>
      </c>
      <c r="G153" s="48">
        <v>40570.660011574073</v>
      </c>
      <c r="H153">
        <v>90</v>
      </c>
      <c r="I153" t="s">
        <v>68</v>
      </c>
      <c r="J153">
        <v>4</v>
      </c>
      <c r="K153" s="50">
        <f t="shared" ca="1" si="2"/>
        <v>41869</v>
      </c>
      <c r="S153" s="48"/>
    </row>
    <row r="154" spans="1:19" x14ac:dyDescent="0.25">
      <c r="A154" s="49">
        <v>2.12</v>
      </c>
      <c r="B154">
        <v>500000000</v>
      </c>
      <c r="C154">
        <v>5</v>
      </c>
      <c r="D154">
        <v>1892660100</v>
      </c>
      <c r="E154">
        <v>500000000</v>
      </c>
      <c r="F154" t="s">
        <v>56</v>
      </c>
      <c r="G154" s="48">
        <v>40570.660046296296</v>
      </c>
      <c r="H154">
        <v>90</v>
      </c>
      <c r="I154" t="s">
        <v>68</v>
      </c>
      <c r="J154">
        <v>4</v>
      </c>
      <c r="K154" s="50">
        <f t="shared" ca="1" si="2"/>
        <v>41867</v>
      </c>
      <c r="S154" s="48"/>
    </row>
    <row r="155" spans="1:19" x14ac:dyDescent="0.25">
      <c r="A155" s="49">
        <v>2.12</v>
      </c>
      <c r="B155">
        <v>12105557</v>
      </c>
      <c r="C155">
        <v>3</v>
      </c>
      <c r="D155">
        <v>1893153421</v>
      </c>
      <c r="E155">
        <v>20000000</v>
      </c>
      <c r="F155" t="s">
        <v>56</v>
      </c>
      <c r="G155" s="48">
        <v>40570.911956018521</v>
      </c>
      <c r="H155">
        <v>30</v>
      </c>
      <c r="I155" t="s">
        <v>57</v>
      </c>
      <c r="J155">
        <v>1</v>
      </c>
      <c r="K155" s="50">
        <f t="shared" ca="1" si="2"/>
        <v>41865</v>
      </c>
      <c r="S155" s="48"/>
    </row>
    <row r="156" spans="1:19" x14ac:dyDescent="0.25">
      <c r="A156" s="49">
        <v>2.12</v>
      </c>
      <c r="B156">
        <v>14684473</v>
      </c>
      <c r="C156">
        <v>5</v>
      </c>
      <c r="D156">
        <v>1894529778</v>
      </c>
      <c r="E156">
        <v>20000000</v>
      </c>
      <c r="F156" t="s">
        <v>56</v>
      </c>
      <c r="G156" s="48">
        <v>40570.912291666667</v>
      </c>
      <c r="H156">
        <v>30</v>
      </c>
      <c r="I156" t="s">
        <v>69</v>
      </c>
      <c r="J156">
        <v>6</v>
      </c>
      <c r="K156" s="50">
        <f t="shared" ca="1" si="2"/>
        <v>41863</v>
      </c>
      <c r="S156" s="48"/>
    </row>
    <row r="157" spans="1:19" x14ac:dyDescent="0.25">
      <c r="A157" s="49">
        <v>2.11</v>
      </c>
      <c r="B157">
        <v>3883959</v>
      </c>
      <c r="C157">
        <v>-1</v>
      </c>
      <c r="D157">
        <v>1825837684</v>
      </c>
      <c r="E157">
        <v>400000000</v>
      </c>
      <c r="F157" t="s">
        <v>56</v>
      </c>
      <c r="G157" s="48">
        <v>40514.980497685188</v>
      </c>
      <c r="H157">
        <v>90</v>
      </c>
      <c r="I157" t="s">
        <v>57</v>
      </c>
      <c r="J157">
        <v>1</v>
      </c>
      <c r="K157" s="50">
        <f t="shared" ca="1" si="2"/>
        <v>41861</v>
      </c>
      <c r="S157" s="48"/>
    </row>
    <row r="158" spans="1:19" x14ac:dyDescent="0.25">
      <c r="A158" s="49">
        <v>2.11</v>
      </c>
      <c r="B158">
        <v>10000000</v>
      </c>
      <c r="C158">
        <v>0</v>
      </c>
      <c r="D158">
        <v>1896374323</v>
      </c>
      <c r="E158">
        <v>10000000</v>
      </c>
      <c r="F158" t="s">
        <v>56</v>
      </c>
      <c r="G158" s="48">
        <v>40570.336319444446</v>
      </c>
      <c r="H158">
        <v>90</v>
      </c>
      <c r="I158" t="s">
        <v>62</v>
      </c>
      <c r="J158">
        <v>7</v>
      </c>
      <c r="K158" s="50">
        <f t="shared" ca="1" si="2"/>
        <v>41859</v>
      </c>
      <c r="S158" s="48"/>
    </row>
    <row r="159" spans="1:19" x14ac:dyDescent="0.25">
      <c r="A159" s="49">
        <v>2.11</v>
      </c>
      <c r="B159">
        <v>86437969</v>
      </c>
      <c r="C159">
        <v>40</v>
      </c>
      <c r="D159">
        <v>1896543894</v>
      </c>
      <c r="E159">
        <v>100000000</v>
      </c>
      <c r="F159" t="s">
        <v>56</v>
      </c>
      <c r="G159" s="48">
        <v>40570.632407407407</v>
      </c>
      <c r="H159">
        <v>90</v>
      </c>
      <c r="I159" t="s">
        <v>68</v>
      </c>
      <c r="J159">
        <v>4</v>
      </c>
      <c r="K159" s="50">
        <f t="shared" ca="1" si="2"/>
        <v>41857</v>
      </c>
      <c r="S159" s="48"/>
    </row>
    <row r="160" spans="1:19" x14ac:dyDescent="0.25">
      <c r="A160" s="49">
        <v>2.09</v>
      </c>
      <c r="B160">
        <v>1449422</v>
      </c>
      <c r="C160">
        <v>-1</v>
      </c>
      <c r="D160">
        <v>1895578345</v>
      </c>
      <c r="E160">
        <v>5000000</v>
      </c>
      <c r="F160" t="s">
        <v>56</v>
      </c>
      <c r="G160" s="48">
        <v>40570.798900462964</v>
      </c>
      <c r="H160">
        <v>3</v>
      </c>
      <c r="I160" t="s">
        <v>61</v>
      </c>
      <c r="J160">
        <v>3</v>
      </c>
      <c r="K160" s="50">
        <f t="shared" ca="1" si="2"/>
        <v>41855</v>
      </c>
      <c r="S160" s="48"/>
    </row>
    <row r="161" spans="1:19" x14ac:dyDescent="0.25">
      <c r="A161" s="49">
        <v>2.09</v>
      </c>
      <c r="B161">
        <v>1458326</v>
      </c>
      <c r="C161">
        <v>0</v>
      </c>
      <c r="D161">
        <v>1893333187</v>
      </c>
      <c r="E161">
        <v>2000000</v>
      </c>
      <c r="F161" t="s">
        <v>56</v>
      </c>
      <c r="G161" s="48">
        <v>40570.856087962966</v>
      </c>
      <c r="H161">
        <v>90</v>
      </c>
      <c r="I161" t="s">
        <v>57</v>
      </c>
      <c r="J161">
        <v>8</v>
      </c>
      <c r="K161" s="50">
        <f t="shared" ca="1" si="2"/>
        <v>41853</v>
      </c>
      <c r="S161" s="48"/>
    </row>
    <row r="162" spans="1:19" x14ac:dyDescent="0.25">
      <c r="A162" s="49">
        <v>2.09</v>
      </c>
      <c r="B162">
        <v>81714136</v>
      </c>
      <c r="C162">
        <v>2</v>
      </c>
      <c r="D162">
        <v>1879385045</v>
      </c>
      <c r="E162">
        <v>150000000</v>
      </c>
      <c r="F162" t="s">
        <v>56</v>
      </c>
      <c r="G162" s="48">
        <v>40570.901388888888</v>
      </c>
      <c r="H162">
        <v>14</v>
      </c>
      <c r="I162" t="s">
        <v>58</v>
      </c>
      <c r="J162">
        <v>11</v>
      </c>
      <c r="K162" s="50">
        <f t="shared" ca="1" si="2"/>
        <v>41851</v>
      </c>
      <c r="S162" s="48"/>
    </row>
    <row r="163" spans="1:19" x14ac:dyDescent="0.25">
      <c r="A163" s="49">
        <v>2.08</v>
      </c>
      <c r="B163">
        <v>65000000</v>
      </c>
      <c r="C163">
        <v>32767</v>
      </c>
      <c r="D163">
        <v>1893003154</v>
      </c>
      <c r="E163">
        <v>65000000</v>
      </c>
      <c r="F163" t="s">
        <v>56</v>
      </c>
      <c r="G163" s="48">
        <v>40570.688240740739</v>
      </c>
      <c r="H163">
        <v>90</v>
      </c>
      <c r="I163" t="s">
        <v>63</v>
      </c>
      <c r="J163">
        <v>2</v>
      </c>
      <c r="K163" s="50">
        <f t="shared" ca="1" si="2"/>
        <v>41849</v>
      </c>
      <c r="S163" s="48"/>
    </row>
    <row r="164" spans="1:19" x14ac:dyDescent="0.25">
      <c r="A164" s="49">
        <v>2.0699999999999998</v>
      </c>
      <c r="B164">
        <v>37546986</v>
      </c>
      <c r="C164">
        <v>-1</v>
      </c>
      <c r="D164">
        <v>1888200519</v>
      </c>
      <c r="E164">
        <v>50000000</v>
      </c>
      <c r="F164" t="s">
        <v>56</v>
      </c>
      <c r="G164" s="48">
        <v>40566.424386574072</v>
      </c>
      <c r="H164">
        <v>90</v>
      </c>
      <c r="I164" t="s">
        <v>61</v>
      </c>
      <c r="J164">
        <v>3</v>
      </c>
      <c r="K164" s="50">
        <f t="shared" ca="1" si="2"/>
        <v>41847</v>
      </c>
      <c r="S164" s="48"/>
    </row>
    <row r="165" spans="1:19" x14ac:dyDescent="0.25">
      <c r="A165" s="49">
        <v>2.0699999999999998</v>
      </c>
      <c r="B165">
        <v>931662354</v>
      </c>
      <c r="C165">
        <v>5</v>
      </c>
      <c r="D165">
        <v>1893781508</v>
      </c>
      <c r="E165">
        <v>1014369479</v>
      </c>
      <c r="F165" t="s">
        <v>56</v>
      </c>
      <c r="G165" s="48">
        <v>40568.380706018521</v>
      </c>
      <c r="H165">
        <v>30</v>
      </c>
      <c r="I165" t="s">
        <v>59</v>
      </c>
      <c r="J165">
        <v>3</v>
      </c>
      <c r="K165" s="50">
        <f t="shared" ca="1" si="2"/>
        <v>41845</v>
      </c>
      <c r="S165" s="48"/>
    </row>
    <row r="166" spans="1:19" x14ac:dyDescent="0.25">
      <c r="A166" s="49">
        <v>2.0699999999999998</v>
      </c>
      <c r="B166">
        <v>22628673</v>
      </c>
      <c r="C166">
        <v>32767</v>
      </c>
      <c r="D166">
        <v>1892513942</v>
      </c>
      <c r="E166">
        <v>75000000</v>
      </c>
      <c r="F166" t="s">
        <v>56</v>
      </c>
      <c r="G166" s="48">
        <v>40570.607499999998</v>
      </c>
      <c r="H166">
        <v>90</v>
      </c>
      <c r="I166" t="s">
        <v>68</v>
      </c>
      <c r="J166">
        <v>4</v>
      </c>
      <c r="K166" s="50">
        <f t="shared" ca="1" si="2"/>
        <v>41843</v>
      </c>
      <c r="S166" s="48"/>
    </row>
    <row r="167" spans="1:19" x14ac:dyDescent="0.25">
      <c r="A167" s="49">
        <v>2.0699999999999998</v>
      </c>
      <c r="B167">
        <v>50947532</v>
      </c>
      <c r="C167">
        <v>32767</v>
      </c>
      <c r="D167">
        <v>1893664613</v>
      </c>
      <c r="E167">
        <v>65000000</v>
      </c>
      <c r="F167" t="s">
        <v>56</v>
      </c>
      <c r="G167" s="48">
        <v>40570.688460648147</v>
      </c>
      <c r="H167">
        <v>90</v>
      </c>
      <c r="I167" t="s">
        <v>63</v>
      </c>
      <c r="J167">
        <v>2</v>
      </c>
      <c r="K167" s="50">
        <f t="shared" ca="1" si="2"/>
        <v>41841</v>
      </c>
      <c r="S167" s="48"/>
    </row>
    <row r="168" spans="1:19" x14ac:dyDescent="0.25">
      <c r="A168" s="49">
        <v>2.06</v>
      </c>
      <c r="B168">
        <v>26456549</v>
      </c>
      <c r="C168">
        <v>0</v>
      </c>
      <c r="D168">
        <v>1870882402</v>
      </c>
      <c r="E168">
        <v>50000000</v>
      </c>
      <c r="F168" t="s">
        <v>56</v>
      </c>
      <c r="G168" s="48">
        <v>40565.678518518522</v>
      </c>
      <c r="H168">
        <v>90</v>
      </c>
      <c r="I168" t="s">
        <v>64</v>
      </c>
      <c r="J168">
        <v>2</v>
      </c>
      <c r="K168" s="50">
        <f t="shared" ca="1" si="2"/>
        <v>41839</v>
      </c>
      <c r="S168" s="48"/>
    </row>
    <row r="169" spans="1:19" x14ac:dyDescent="0.25">
      <c r="A169" s="49">
        <v>2.06</v>
      </c>
      <c r="B169">
        <v>172260</v>
      </c>
      <c r="C169">
        <v>1</v>
      </c>
      <c r="D169">
        <v>1890776245</v>
      </c>
      <c r="E169">
        <v>1500000</v>
      </c>
      <c r="F169" t="s">
        <v>56</v>
      </c>
      <c r="G169" s="48">
        <v>40566.37096064815</v>
      </c>
      <c r="H169">
        <v>90</v>
      </c>
      <c r="I169" t="s">
        <v>61</v>
      </c>
      <c r="J169">
        <v>3</v>
      </c>
      <c r="K169" s="50">
        <f t="shared" ca="1" si="2"/>
        <v>41837</v>
      </c>
      <c r="S169" s="48"/>
    </row>
    <row r="170" spans="1:19" x14ac:dyDescent="0.25">
      <c r="A170" s="49">
        <v>2.06</v>
      </c>
      <c r="B170">
        <v>3315692</v>
      </c>
      <c r="C170">
        <v>2</v>
      </c>
      <c r="D170">
        <v>1890879393</v>
      </c>
      <c r="E170">
        <v>4700000</v>
      </c>
      <c r="F170" t="s">
        <v>56</v>
      </c>
      <c r="G170" s="48">
        <v>40566.442824074074</v>
      </c>
      <c r="H170">
        <v>90</v>
      </c>
      <c r="I170" t="s">
        <v>61</v>
      </c>
      <c r="J170">
        <v>3</v>
      </c>
      <c r="K170" s="50">
        <f t="shared" ca="1" si="2"/>
        <v>41835</v>
      </c>
      <c r="S170" s="48"/>
    </row>
    <row r="171" spans="1:19" x14ac:dyDescent="0.25">
      <c r="A171" s="49">
        <v>2.06</v>
      </c>
      <c r="B171">
        <v>185536033</v>
      </c>
      <c r="C171">
        <v>0</v>
      </c>
      <c r="D171">
        <v>1892072870</v>
      </c>
      <c r="E171">
        <v>210000000</v>
      </c>
      <c r="F171" t="s">
        <v>56</v>
      </c>
      <c r="G171" s="48">
        <v>40567.072962962964</v>
      </c>
      <c r="H171">
        <v>30</v>
      </c>
      <c r="I171" t="s">
        <v>62</v>
      </c>
      <c r="J171">
        <v>3</v>
      </c>
      <c r="K171" s="50">
        <f t="shared" ca="1" si="2"/>
        <v>41833</v>
      </c>
      <c r="S171" s="48"/>
    </row>
    <row r="172" spans="1:19" x14ac:dyDescent="0.25">
      <c r="A172" s="49">
        <v>2.06</v>
      </c>
      <c r="B172">
        <v>126577</v>
      </c>
      <c r="C172">
        <v>-1</v>
      </c>
      <c r="D172">
        <v>1892183258</v>
      </c>
      <c r="E172">
        <v>1000000</v>
      </c>
      <c r="F172" t="s">
        <v>56</v>
      </c>
      <c r="G172" s="48">
        <v>40567.154641203706</v>
      </c>
      <c r="H172">
        <v>7</v>
      </c>
      <c r="I172" t="s">
        <v>57</v>
      </c>
      <c r="J172">
        <v>7</v>
      </c>
      <c r="K172" s="50">
        <f t="shared" ca="1" si="2"/>
        <v>41831</v>
      </c>
      <c r="S172" s="48"/>
    </row>
    <row r="173" spans="1:19" x14ac:dyDescent="0.25">
      <c r="A173" s="49">
        <v>2.0499999999999998</v>
      </c>
      <c r="B173">
        <v>1705450</v>
      </c>
      <c r="C173">
        <v>32767</v>
      </c>
      <c r="D173">
        <v>1895421261</v>
      </c>
      <c r="E173">
        <v>8000000</v>
      </c>
      <c r="F173" t="s">
        <v>56</v>
      </c>
      <c r="G173" s="48">
        <v>40569.931979166664</v>
      </c>
      <c r="H173">
        <v>90</v>
      </c>
      <c r="I173" t="s">
        <v>65</v>
      </c>
      <c r="J173">
        <v>5</v>
      </c>
      <c r="K173" s="50">
        <f t="shared" ca="1" si="2"/>
        <v>41829</v>
      </c>
      <c r="S173" s="48"/>
    </row>
    <row r="174" spans="1:19" x14ac:dyDescent="0.25">
      <c r="A174" s="49">
        <v>2.04</v>
      </c>
      <c r="B174">
        <v>40017848</v>
      </c>
      <c r="C174">
        <v>0</v>
      </c>
      <c r="D174">
        <v>1882369620</v>
      </c>
      <c r="E174">
        <v>50000000</v>
      </c>
      <c r="F174" t="s">
        <v>56</v>
      </c>
      <c r="G174" s="48">
        <v>40559.440069444441</v>
      </c>
      <c r="H174">
        <v>90</v>
      </c>
      <c r="I174" t="s">
        <v>61</v>
      </c>
      <c r="J174">
        <v>4</v>
      </c>
      <c r="K174" s="50">
        <f t="shared" ca="1" si="2"/>
        <v>41827</v>
      </c>
      <c r="S174" s="48"/>
    </row>
    <row r="175" spans="1:19" x14ac:dyDescent="0.25">
      <c r="A175" s="49">
        <v>2.04</v>
      </c>
      <c r="B175">
        <v>47585158</v>
      </c>
      <c r="C175">
        <v>5</v>
      </c>
      <c r="D175">
        <v>1888990912</v>
      </c>
      <c r="E175">
        <v>50000000</v>
      </c>
      <c r="F175" t="s">
        <v>56</v>
      </c>
      <c r="G175" s="48">
        <v>40569.735046296293</v>
      </c>
      <c r="H175">
        <v>90</v>
      </c>
      <c r="I175" t="s">
        <v>63</v>
      </c>
      <c r="J175">
        <v>4</v>
      </c>
      <c r="K175" s="50">
        <f t="shared" ca="1" si="2"/>
        <v>41825</v>
      </c>
      <c r="S175" s="48"/>
    </row>
    <row r="176" spans="1:19" x14ac:dyDescent="0.25">
      <c r="A176" s="49">
        <v>2.0299</v>
      </c>
      <c r="B176">
        <v>19857860</v>
      </c>
      <c r="C176">
        <v>-1</v>
      </c>
      <c r="D176">
        <v>1865274374</v>
      </c>
      <c r="E176">
        <v>20000000</v>
      </c>
      <c r="F176" t="s">
        <v>56</v>
      </c>
      <c r="G176" s="48">
        <v>40549.290092592593</v>
      </c>
      <c r="H176">
        <v>90</v>
      </c>
      <c r="I176" t="s">
        <v>64</v>
      </c>
      <c r="J176">
        <v>2</v>
      </c>
      <c r="K176" s="50">
        <f t="shared" ca="1" si="2"/>
        <v>41823</v>
      </c>
      <c r="S176" s="48"/>
    </row>
    <row r="177" spans="1:19" x14ac:dyDescent="0.25">
      <c r="A177" s="49">
        <v>2.0299</v>
      </c>
      <c r="B177">
        <v>361640378</v>
      </c>
      <c r="C177">
        <v>0</v>
      </c>
      <c r="D177">
        <v>1873013032</v>
      </c>
      <c r="E177">
        <v>400000000</v>
      </c>
      <c r="F177" t="s">
        <v>56</v>
      </c>
      <c r="G177" s="48">
        <v>40556.865405092591</v>
      </c>
      <c r="H177">
        <v>14</v>
      </c>
      <c r="I177" t="s">
        <v>64</v>
      </c>
      <c r="J177">
        <v>2</v>
      </c>
      <c r="K177" s="50">
        <f t="shared" ca="1" si="2"/>
        <v>41821</v>
      </c>
      <c r="S177" s="48"/>
    </row>
    <row r="178" spans="1:19" x14ac:dyDescent="0.25">
      <c r="A178" s="49">
        <v>2.02</v>
      </c>
      <c r="B178">
        <v>653062</v>
      </c>
      <c r="C178">
        <v>-1</v>
      </c>
      <c r="D178">
        <v>1876668202</v>
      </c>
      <c r="E178">
        <v>50000000</v>
      </c>
      <c r="F178" t="s">
        <v>56</v>
      </c>
      <c r="G178" s="48">
        <v>40554.928912037038</v>
      </c>
      <c r="H178">
        <v>90</v>
      </c>
      <c r="I178" t="s">
        <v>57</v>
      </c>
      <c r="J178">
        <v>7</v>
      </c>
      <c r="K178" s="50">
        <f t="shared" ca="1" si="2"/>
        <v>41819</v>
      </c>
      <c r="S178" s="48"/>
    </row>
    <row r="179" spans="1:19" x14ac:dyDescent="0.25">
      <c r="A179" s="49">
        <v>2.0099</v>
      </c>
      <c r="B179">
        <v>4407028</v>
      </c>
      <c r="C179">
        <v>-1</v>
      </c>
      <c r="D179">
        <v>1891798840</v>
      </c>
      <c r="E179">
        <v>9341299</v>
      </c>
      <c r="F179" t="s">
        <v>56</v>
      </c>
      <c r="G179" s="48">
        <v>40566.918935185182</v>
      </c>
      <c r="H179">
        <v>90</v>
      </c>
      <c r="I179" t="s">
        <v>60</v>
      </c>
      <c r="J179">
        <v>4</v>
      </c>
      <c r="K179" s="50">
        <f t="shared" ca="1" si="2"/>
        <v>41817</v>
      </c>
      <c r="S179" s="48"/>
    </row>
    <row r="180" spans="1:19" x14ac:dyDescent="0.25">
      <c r="A180" s="49">
        <v>2.0099</v>
      </c>
      <c r="B180">
        <v>53444835</v>
      </c>
      <c r="C180">
        <v>3</v>
      </c>
      <c r="D180">
        <v>1892162949</v>
      </c>
      <c r="E180">
        <v>100000000</v>
      </c>
      <c r="F180" t="s">
        <v>56</v>
      </c>
      <c r="G180" s="48">
        <v>40567.138912037037</v>
      </c>
      <c r="H180">
        <v>90</v>
      </c>
      <c r="I180" t="s">
        <v>63</v>
      </c>
      <c r="J180">
        <v>2</v>
      </c>
      <c r="K180" s="50">
        <f t="shared" ca="1" si="2"/>
        <v>41815</v>
      </c>
      <c r="S180" s="48"/>
    </row>
    <row r="181" spans="1:19" x14ac:dyDescent="0.25">
      <c r="A181" s="49">
        <v>2</v>
      </c>
      <c r="B181">
        <v>43661294</v>
      </c>
      <c r="C181">
        <v>2</v>
      </c>
      <c r="D181">
        <v>1881452462</v>
      </c>
      <c r="E181">
        <v>100000000</v>
      </c>
      <c r="F181" t="s">
        <v>56</v>
      </c>
      <c r="G181" s="48">
        <v>40558.809259259258</v>
      </c>
      <c r="H181">
        <v>90</v>
      </c>
      <c r="I181" t="s">
        <v>69</v>
      </c>
      <c r="J181">
        <v>6</v>
      </c>
      <c r="K181" s="50">
        <f t="shared" ca="1" si="2"/>
        <v>41813</v>
      </c>
      <c r="S181" s="48"/>
    </row>
    <row r="182" spans="1:19" x14ac:dyDescent="0.25">
      <c r="A182" s="49">
        <v>2</v>
      </c>
      <c r="B182">
        <v>1000000</v>
      </c>
      <c r="C182">
        <v>0</v>
      </c>
      <c r="D182">
        <v>1883919217</v>
      </c>
      <c r="E182">
        <v>1000000</v>
      </c>
      <c r="F182" t="s">
        <v>56</v>
      </c>
      <c r="G182" s="48">
        <v>40560.575937499998</v>
      </c>
      <c r="H182">
        <v>90</v>
      </c>
      <c r="I182" t="s">
        <v>64</v>
      </c>
      <c r="J182">
        <v>2</v>
      </c>
      <c r="K182" s="50">
        <f t="shared" ca="1" si="2"/>
        <v>41811</v>
      </c>
      <c r="S182" s="48"/>
    </row>
    <row r="183" spans="1:19" x14ac:dyDescent="0.25">
      <c r="A183" s="49">
        <v>2</v>
      </c>
      <c r="B183">
        <v>303932</v>
      </c>
      <c r="C183">
        <v>-1</v>
      </c>
      <c r="D183">
        <v>1831518518</v>
      </c>
      <c r="E183">
        <v>40000000</v>
      </c>
      <c r="F183" t="s">
        <v>56</v>
      </c>
      <c r="G183" s="48">
        <v>40562.578692129631</v>
      </c>
      <c r="H183">
        <v>90</v>
      </c>
      <c r="I183" t="s">
        <v>61</v>
      </c>
      <c r="J183">
        <v>3</v>
      </c>
      <c r="K183" s="50">
        <f t="shared" ca="1" si="2"/>
        <v>41809</v>
      </c>
      <c r="S183" s="48"/>
    </row>
    <row r="184" spans="1:19" x14ac:dyDescent="0.25">
      <c r="A184" s="49">
        <v>1.99</v>
      </c>
      <c r="B184">
        <v>400000000</v>
      </c>
      <c r="C184">
        <v>-1</v>
      </c>
      <c r="D184">
        <v>1868316880</v>
      </c>
      <c r="E184">
        <v>400000000</v>
      </c>
      <c r="F184" t="s">
        <v>56</v>
      </c>
      <c r="G184" s="48">
        <v>40548.774282407408</v>
      </c>
      <c r="H184">
        <v>90</v>
      </c>
      <c r="I184" t="s">
        <v>68</v>
      </c>
      <c r="J184">
        <v>4</v>
      </c>
      <c r="K184" s="50">
        <f t="shared" ca="1" si="2"/>
        <v>41807</v>
      </c>
      <c r="S184" s="48"/>
    </row>
    <row r="185" spans="1:19" x14ac:dyDescent="0.25">
      <c r="A185" s="49">
        <v>1.99</v>
      </c>
      <c r="B185">
        <v>29915047</v>
      </c>
      <c r="C185">
        <v>-1</v>
      </c>
      <c r="D185">
        <v>1878800043</v>
      </c>
      <c r="E185">
        <v>30000000</v>
      </c>
      <c r="F185" t="s">
        <v>56</v>
      </c>
      <c r="G185" s="48">
        <v>40556.771747685183</v>
      </c>
      <c r="H185">
        <v>90</v>
      </c>
      <c r="I185" t="s">
        <v>61</v>
      </c>
      <c r="J185">
        <v>3</v>
      </c>
      <c r="K185" s="50">
        <f t="shared" ca="1" si="2"/>
        <v>41805</v>
      </c>
      <c r="S185" s="48"/>
    </row>
    <row r="186" spans="1:19" x14ac:dyDescent="0.25">
      <c r="A186" s="49">
        <v>1.98</v>
      </c>
      <c r="B186">
        <v>200000000</v>
      </c>
      <c r="C186">
        <v>-1</v>
      </c>
      <c r="D186">
        <v>1825177155</v>
      </c>
      <c r="E186">
        <v>200000000</v>
      </c>
      <c r="F186" t="s">
        <v>56</v>
      </c>
      <c r="G186" s="48">
        <v>40514.534872685188</v>
      </c>
      <c r="H186">
        <v>90</v>
      </c>
      <c r="I186" t="s">
        <v>68</v>
      </c>
      <c r="J186">
        <v>4</v>
      </c>
      <c r="K186" s="50">
        <f t="shared" ca="1" si="2"/>
        <v>41803</v>
      </c>
      <c r="S186" s="48"/>
    </row>
    <row r="187" spans="1:19" x14ac:dyDescent="0.25">
      <c r="A187" s="49">
        <v>1.98</v>
      </c>
      <c r="B187">
        <v>336547266</v>
      </c>
      <c r="C187">
        <v>5</v>
      </c>
      <c r="D187">
        <v>1878238161</v>
      </c>
      <c r="E187">
        <v>400000000</v>
      </c>
      <c r="F187" t="s">
        <v>56</v>
      </c>
      <c r="G187" s="48">
        <v>40556.210925925923</v>
      </c>
      <c r="H187">
        <v>90</v>
      </c>
      <c r="I187" t="s">
        <v>61</v>
      </c>
      <c r="J187">
        <v>2</v>
      </c>
      <c r="K187" s="50">
        <f t="shared" ca="1" si="2"/>
        <v>41801</v>
      </c>
      <c r="S187" s="48"/>
    </row>
    <row r="188" spans="1:19" x14ac:dyDescent="0.25">
      <c r="A188" s="49">
        <v>1.98</v>
      </c>
      <c r="B188">
        <v>1000000</v>
      </c>
      <c r="C188">
        <v>-1</v>
      </c>
      <c r="D188">
        <v>1889287160</v>
      </c>
      <c r="E188">
        <v>1000000</v>
      </c>
      <c r="F188" t="s">
        <v>56</v>
      </c>
      <c r="G188" s="48">
        <v>40565.45653935185</v>
      </c>
      <c r="H188">
        <v>30</v>
      </c>
      <c r="I188" t="s">
        <v>61</v>
      </c>
      <c r="J188">
        <v>2</v>
      </c>
      <c r="K188" s="50">
        <f t="shared" ca="1" si="2"/>
        <v>41799</v>
      </c>
      <c r="S188" s="48"/>
    </row>
    <row r="189" spans="1:19" x14ac:dyDescent="0.25">
      <c r="A189" s="49">
        <v>1.97</v>
      </c>
      <c r="B189">
        <v>20000000</v>
      </c>
      <c r="C189">
        <v>-1</v>
      </c>
      <c r="D189">
        <v>1805288786</v>
      </c>
      <c r="E189">
        <v>20000000</v>
      </c>
      <c r="F189" t="s">
        <v>56</v>
      </c>
      <c r="G189" s="48">
        <v>40496.696250000001</v>
      </c>
      <c r="H189">
        <v>90</v>
      </c>
      <c r="I189" t="s">
        <v>68</v>
      </c>
      <c r="J189">
        <v>4</v>
      </c>
      <c r="K189" s="50">
        <f t="shared" ca="1" si="2"/>
        <v>41797</v>
      </c>
      <c r="S189" s="48"/>
    </row>
    <row r="190" spans="1:19" x14ac:dyDescent="0.25">
      <c r="A190" s="49">
        <v>1.9</v>
      </c>
      <c r="B190">
        <v>90666931</v>
      </c>
      <c r="C190">
        <v>1</v>
      </c>
      <c r="D190">
        <v>1870083402</v>
      </c>
      <c r="E190">
        <v>110000000</v>
      </c>
      <c r="F190" t="s">
        <v>56</v>
      </c>
      <c r="G190" s="48">
        <v>40550.049212962964</v>
      </c>
      <c r="H190">
        <v>90</v>
      </c>
      <c r="I190" t="s">
        <v>61</v>
      </c>
      <c r="J190">
        <v>3</v>
      </c>
      <c r="K190" s="50">
        <f t="shared" ca="1" si="2"/>
        <v>41795</v>
      </c>
      <c r="S190" s="48"/>
    </row>
    <row r="191" spans="1:19" x14ac:dyDescent="0.25">
      <c r="A191" s="49">
        <v>1.9</v>
      </c>
      <c r="B191">
        <v>100000000</v>
      </c>
      <c r="C191">
        <v>-1</v>
      </c>
      <c r="D191">
        <v>1872351643</v>
      </c>
      <c r="E191">
        <v>100000000</v>
      </c>
      <c r="F191" t="s">
        <v>56</v>
      </c>
      <c r="G191" s="48">
        <v>40551.786817129629</v>
      </c>
      <c r="H191">
        <v>90</v>
      </c>
      <c r="I191" t="s">
        <v>60</v>
      </c>
      <c r="J191">
        <v>3</v>
      </c>
      <c r="K191" s="50">
        <f t="shared" ca="1" si="2"/>
        <v>41793</v>
      </c>
      <c r="S191" s="48"/>
    </row>
    <row r="192" spans="1:19" x14ac:dyDescent="0.25">
      <c r="A192" s="49">
        <v>1.9</v>
      </c>
      <c r="B192">
        <v>10000000</v>
      </c>
      <c r="C192">
        <v>-1</v>
      </c>
      <c r="D192">
        <v>1880860557</v>
      </c>
      <c r="E192">
        <v>10000000</v>
      </c>
      <c r="F192" t="s">
        <v>56</v>
      </c>
      <c r="G192" s="48">
        <v>40558.415925925925</v>
      </c>
      <c r="H192">
        <v>30</v>
      </c>
      <c r="I192" t="s">
        <v>66</v>
      </c>
      <c r="J192">
        <v>4</v>
      </c>
      <c r="K192" s="50">
        <f t="shared" ca="1" si="2"/>
        <v>41791</v>
      </c>
      <c r="S192" s="48"/>
    </row>
    <row r="193" spans="1:19" x14ac:dyDescent="0.25">
      <c r="A193" s="49">
        <v>1.86</v>
      </c>
      <c r="B193">
        <v>500000000</v>
      </c>
      <c r="C193">
        <v>20</v>
      </c>
      <c r="D193">
        <v>1875974667</v>
      </c>
      <c r="E193">
        <v>500000000</v>
      </c>
      <c r="F193" t="s">
        <v>56</v>
      </c>
      <c r="G193" s="48">
        <v>40554.365682870368</v>
      </c>
      <c r="H193">
        <v>90</v>
      </c>
      <c r="I193" t="s">
        <v>64</v>
      </c>
      <c r="J193">
        <v>2</v>
      </c>
      <c r="K193" s="50">
        <f t="shared" ca="1" si="2"/>
        <v>41789</v>
      </c>
      <c r="S193" s="48"/>
    </row>
    <row r="194" spans="1:19" x14ac:dyDescent="0.25">
      <c r="A194" s="49">
        <v>1.79</v>
      </c>
      <c r="B194">
        <v>4566957</v>
      </c>
      <c r="C194">
        <v>-1</v>
      </c>
      <c r="D194">
        <v>1790159889</v>
      </c>
      <c r="E194">
        <v>60000000</v>
      </c>
      <c r="F194" t="s">
        <v>56</v>
      </c>
      <c r="G194" s="48">
        <v>40482.269224537034</v>
      </c>
      <c r="H194">
        <v>90</v>
      </c>
      <c r="I194" t="s">
        <v>63</v>
      </c>
      <c r="J194">
        <v>5</v>
      </c>
      <c r="K194" s="50">
        <f t="shared" ca="1" si="2"/>
        <v>41787</v>
      </c>
      <c r="S194" s="48"/>
    </row>
    <row r="195" spans="1:19" x14ac:dyDescent="0.25">
      <c r="A195" s="49">
        <v>1.72</v>
      </c>
      <c r="B195">
        <v>137831507</v>
      </c>
      <c r="C195">
        <v>5</v>
      </c>
      <c r="D195">
        <v>1856580532</v>
      </c>
      <c r="E195">
        <v>200000000</v>
      </c>
      <c r="F195" t="s">
        <v>56</v>
      </c>
      <c r="G195" s="48">
        <v>40542.301006944443</v>
      </c>
      <c r="H195">
        <v>90</v>
      </c>
      <c r="I195" t="s">
        <v>69</v>
      </c>
      <c r="J195">
        <v>6</v>
      </c>
      <c r="K195" s="50">
        <f t="shared" ca="1" si="2"/>
        <v>41785</v>
      </c>
      <c r="S195" s="48"/>
    </row>
    <row r="196" spans="1:19" x14ac:dyDescent="0.25">
      <c r="A196" s="49">
        <v>1.72</v>
      </c>
      <c r="B196">
        <v>14352815</v>
      </c>
      <c r="C196">
        <v>3</v>
      </c>
      <c r="D196">
        <v>1866285351</v>
      </c>
      <c r="E196">
        <v>50000000</v>
      </c>
      <c r="F196" t="s">
        <v>56</v>
      </c>
      <c r="G196" s="48">
        <v>40547.094837962963</v>
      </c>
      <c r="H196">
        <v>90</v>
      </c>
      <c r="I196" t="s">
        <v>63</v>
      </c>
      <c r="J196">
        <v>2</v>
      </c>
      <c r="K196" s="50">
        <f t="shared" ref="K196:K207" ca="1" si="3">+K195-2</f>
        <v>41783</v>
      </c>
      <c r="S196" s="48"/>
    </row>
    <row r="197" spans="1:19" x14ac:dyDescent="0.25">
      <c r="A197" s="49">
        <v>1.7</v>
      </c>
      <c r="B197">
        <v>3999137</v>
      </c>
      <c r="C197">
        <v>-1</v>
      </c>
      <c r="D197">
        <v>1823822432</v>
      </c>
      <c r="E197">
        <v>4000000</v>
      </c>
      <c r="F197" t="s">
        <v>56</v>
      </c>
      <c r="G197" s="48">
        <v>40513.346724537034</v>
      </c>
      <c r="H197">
        <v>90</v>
      </c>
      <c r="I197" t="s">
        <v>65</v>
      </c>
      <c r="J197">
        <v>3</v>
      </c>
      <c r="K197" s="50">
        <f t="shared" ca="1" si="3"/>
        <v>41781</v>
      </c>
      <c r="S197" s="48"/>
    </row>
    <row r="198" spans="1:19" x14ac:dyDescent="0.25">
      <c r="A198" s="49">
        <v>1.7</v>
      </c>
      <c r="B198">
        <v>10000000</v>
      </c>
      <c r="C198">
        <v>-1</v>
      </c>
      <c r="D198">
        <v>1896986477</v>
      </c>
      <c r="E198">
        <v>10000000</v>
      </c>
      <c r="F198" t="s">
        <v>56</v>
      </c>
      <c r="G198" s="48">
        <v>40570.894930555558</v>
      </c>
      <c r="H198">
        <v>7</v>
      </c>
      <c r="I198" t="s">
        <v>62</v>
      </c>
      <c r="J198">
        <v>2</v>
      </c>
      <c r="K198" s="50">
        <f t="shared" ca="1" si="3"/>
        <v>41779</v>
      </c>
      <c r="S198" s="48"/>
    </row>
    <row r="199" spans="1:19" x14ac:dyDescent="0.25">
      <c r="A199" s="49">
        <v>1.69</v>
      </c>
      <c r="B199">
        <v>7335332</v>
      </c>
      <c r="C199">
        <v>4</v>
      </c>
      <c r="D199">
        <v>1857402900</v>
      </c>
      <c r="E199">
        <v>20000000</v>
      </c>
      <c r="F199" t="s">
        <v>56</v>
      </c>
      <c r="G199" s="48">
        <v>40540.382164351853</v>
      </c>
      <c r="H199">
        <v>90</v>
      </c>
      <c r="I199" t="s">
        <v>67</v>
      </c>
      <c r="J199">
        <v>6</v>
      </c>
      <c r="K199" s="50">
        <f t="shared" ca="1" si="3"/>
        <v>41777</v>
      </c>
      <c r="S199" s="48"/>
    </row>
    <row r="200" spans="1:19" x14ac:dyDescent="0.25">
      <c r="A200" s="49">
        <v>1.64</v>
      </c>
      <c r="B200">
        <v>93351347</v>
      </c>
      <c r="C200">
        <v>2</v>
      </c>
      <c r="D200">
        <v>1875691547</v>
      </c>
      <c r="E200">
        <v>100000000</v>
      </c>
      <c r="F200" t="s">
        <v>56</v>
      </c>
      <c r="G200" s="48">
        <v>40561.118634259263</v>
      </c>
      <c r="H200">
        <v>90</v>
      </c>
      <c r="I200" t="s">
        <v>63</v>
      </c>
      <c r="J200">
        <v>9</v>
      </c>
      <c r="K200" s="50">
        <f t="shared" ca="1" si="3"/>
        <v>41775</v>
      </c>
      <c r="S200" s="48"/>
    </row>
    <row r="201" spans="1:19" x14ac:dyDescent="0.25">
      <c r="A201" s="49">
        <v>1.54</v>
      </c>
      <c r="B201">
        <v>9533298</v>
      </c>
      <c r="C201">
        <v>32767</v>
      </c>
      <c r="D201">
        <v>1884589882</v>
      </c>
      <c r="E201">
        <v>10000000</v>
      </c>
      <c r="F201" t="s">
        <v>56</v>
      </c>
      <c r="G201" s="48">
        <v>40560.978750000002</v>
      </c>
      <c r="H201">
        <v>30</v>
      </c>
      <c r="I201" t="s">
        <v>61</v>
      </c>
      <c r="J201">
        <v>3</v>
      </c>
      <c r="K201" s="50">
        <f t="shared" ca="1" si="3"/>
        <v>41773</v>
      </c>
      <c r="S201" s="48"/>
    </row>
    <row r="202" spans="1:19" x14ac:dyDescent="0.25">
      <c r="A202" s="49">
        <v>1.53</v>
      </c>
      <c r="B202">
        <v>500000000</v>
      </c>
      <c r="C202">
        <v>32767</v>
      </c>
      <c r="D202">
        <v>1868004571</v>
      </c>
      <c r="E202">
        <v>500000000</v>
      </c>
      <c r="F202" t="s">
        <v>56</v>
      </c>
      <c r="G202" s="48">
        <v>40548.546956018516</v>
      </c>
      <c r="H202">
        <v>90</v>
      </c>
      <c r="I202" t="s">
        <v>57</v>
      </c>
      <c r="J202">
        <v>1</v>
      </c>
      <c r="K202" s="50">
        <f t="shared" ca="1" si="3"/>
        <v>41771</v>
      </c>
      <c r="S202" s="48"/>
    </row>
    <row r="203" spans="1:19" x14ac:dyDescent="0.25">
      <c r="A203" s="49">
        <v>1.52</v>
      </c>
      <c r="B203">
        <v>393902550</v>
      </c>
      <c r="C203">
        <v>32767</v>
      </c>
      <c r="D203">
        <v>1744626360</v>
      </c>
      <c r="E203">
        <v>400000000</v>
      </c>
      <c r="F203" t="s">
        <v>56</v>
      </c>
      <c r="G203" s="48">
        <v>40525.626388888886</v>
      </c>
      <c r="H203">
        <v>90</v>
      </c>
      <c r="I203" t="s">
        <v>64</v>
      </c>
      <c r="J203">
        <v>2</v>
      </c>
      <c r="K203" s="50">
        <f t="shared" ca="1" si="3"/>
        <v>41769</v>
      </c>
      <c r="S203" s="48"/>
    </row>
    <row r="204" spans="1:19" x14ac:dyDescent="0.25">
      <c r="A204" s="49">
        <v>1.5</v>
      </c>
      <c r="B204">
        <v>100000</v>
      </c>
      <c r="C204">
        <v>20</v>
      </c>
      <c r="D204">
        <v>1826530229</v>
      </c>
      <c r="E204">
        <v>100000</v>
      </c>
      <c r="F204" t="s">
        <v>56</v>
      </c>
      <c r="G204" s="48">
        <v>40515.660844907405</v>
      </c>
      <c r="H204">
        <v>90</v>
      </c>
      <c r="I204" t="s">
        <v>61</v>
      </c>
      <c r="J204">
        <v>3</v>
      </c>
      <c r="K204" s="50">
        <f t="shared" ca="1" si="3"/>
        <v>41767</v>
      </c>
      <c r="S204" s="48"/>
    </row>
    <row r="205" spans="1:19" x14ac:dyDescent="0.25">
      <c r="A205" s="49">
        <v>1.5</v>
      </c>
      <c r="B205">
        <v>1000000</v>
      </c>
      <c r="C205">
        <v>-1</v>
      </c>
      <c r="D205">
        <v>1890506520</v>
      </c>
      <c r="E205">
        <v>1000000</v>
      </c>
      <c r="F205" t="s">
        <v>56</v>
      </c>
      <c r="G205" s="48">
        <v>40566.149050925924</v>
      </c>
      <c r="H205">
        <v>90</v>
      </c>
      <c r="I205" t="s">
        <v>68</v>
      </c>
      <c r="J205">
        <v>6</v>
      </c>
      <c r="K205" s="50">
        <f t="shared" ca="1" si="3"/>
        <v>41765</v>
      </c>
      <c r="S205" s="48"/>
    </row>
    <row r="206" spans="1:19" x14ac:dyDescent="0.25">
      <c r="A206" s="49">
        <v>1</v>
      </c>
      <c r="B206">
        <v>19693614</v>
      </c>
      <c r="C206">
        <v>1</v>
      </c>
      <c r="D206">
        <v>1867930670</v>
      </c>
      <c r="E206">
        <v>20000000</v>
      </c>
      <c r="F206" t="s">
        <v>56</v>
      </c>
      <c r="G206" s="48">
        <v>40566.588414351849</v>
      </c>
      <c r="H206">
        <v>90</v>
      </c>
      <c r="I206" t="s">
        <v>63</v>
      </c>
      <c r="J206">
        <v>2</v>
      </c>
      <c r="K206" s="50">
        <f t="shared" ca="1" si="3"/>
        <v>41763</v>
      </c>
      <c r="S206" s="48"/>
    </row>
    <row r="207" spans="1:19" x14ac:dyDescent="0.25">
      <c r="A207" s="49">
        <v>0.08</v>
      </c>
      <c r="B207">
        <v>154064567</v>
      </c>
      <c r="C207">
        <v>20</v>
      </c>
      <c r="D207">
        <v>1709322587</v>
      </c>
      <c r="E207">
        <v>200000000</v>
      </c>
      <c r="F207" t="s">
        <v>56</v>
      </c>
      <c r="G207" s="48">
        <v>40532.408321759256</v>
      </c>
      <c r="H207">
        <v>90</v>
      </c>
      <c r="I207" t="s">
        <v>63</v>
      </c>
      <c r="J207">
        <v>2</v>
      </c>
      <c r="K207" s="50">
        <f t="shared" ca="1" si="3"/>
        <v>41761</v>
      </c>
      <c r="S207" s="48"/>
    </row>
    <row r="208" spans="1:19" x14ac:dyDescent="0.25">
      <c r="S208" s="48"/>
    </row>
    <row r="209" spans="19:19" x14ac:dyDescent="0.25">
      <c r="S209" s="48"/>
    </row>
    <row r="210" spans="19:19" x14ac:dyDescent="0.25">
      <c r="S210" s="48"/>
    </row>
  </sheetData>
  <autoFilter ref="A1:K207"/>
  <conditionalFormatting sqref="I1:I1048576">
    <cfRule type="containsText" dxfId="5" priority="1" operator="containsText" text="Rens">
      <formula>NOT(ISERROR(SEARCH("Rens",I1)))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0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42578125" bestFit="1" customWidth="1"/>
    <col min="2" max="2" width="17.85546875" bestFit="1" customWidth="1"/>
    <col min="3" max="3" width="10.5703125" bestFit="1" customWidth="1"/>
    <col min="4" max="4" width="12.28515625" bestFit="1" customWidth="1"/>
    <col min="5" max="5" width="14.28515625" style="38" bestFit="1" customWidth="1"/>
    <col min="6" max="6" width="8.42578125" bestFit="1" customWidth="1"/>
    <col min="7" max="7" width="11.28515625" bestFit="1" customWidth="1"/>
    <col min="8" max="8" width="13.140625" bestFit="1" customWidth="1"/>
    <col min="9" max="9" width="16.28515625" bestFit="1" customWidth="1"/>
    <col min="10" max="10" width="11" bestFit="1" customWidth="1"/>
    <col min="11" max="11" width="10.7109375" bestFit="1" customWidth="1"/>
    <col min="12" max="12" width="3" customWidth="1"/>
    <col min="14" max="14" width="13.28515625" bestFit="1" customWidth="1"/>
  </cols>
  <sheetData>
    <row r="1" spans="1:20" s="37" customFormat="1" ht="15.75" thickBot="1" x14ac:dyDescent="0.3">
      <c r="A1" s="65" t="s">
        <v>46</v>
      </c>
      <c r="B1" s="64" t="s">
        <v>47</v>
      </c>
      <c r="C1" s="64" t="s">
        <v>48</v>
      </c>
      <c r="D1" s="64" t="s">
        <v>49</v>
      </c>
      <c r="E1" s="67" t="s">
        <v>74</v>
      </c>
      <c r="F1" s="64" t="s">
        <v>51</v>
      </c>
      <c r="G1" s="64" t="s">
        <v>52</v>
      </c>
      <c r="H1" s="64" t="s">
        <v>53</v>
      </c>
      <c r="I1" s="64" t="s">
        <v>70</v>
      </c>
      <c r="J1" s="64" t="s">
        <v>54</v>
      </c>
      <c r="K1" s="66" t="s">
        <v>32</v>
      </c>
    </row>
    <row r="2" spans="1:20" ht="15.75" thickTop="1" x14ac:dyDescent="0.25">
      <c r="A2" s="51">
        <v>2.2000000000000002</v>
      </c>
      <c r="B2" s="52">
        <v>179264</v>
      </c>
      <c r="C2" s="52">
        <v>32767</v>
      </c>
      <c r="D2" s="52">
        <v>1897144902</v>
      </c>
      <c r="E2" s="68">
        <v>206264</v>
      </c>
      <c r="F2" s="52" t="s">
        <v>55</v>
      </c>
      <c r="G2" s="53">
        <v>40570.981956018521</v>
      </c>
      <c r="H2" s="52">
        <v>1</v>
      </c>
      <c r="I2" s="52" t="s">
        <v>57</v>
      </c>
      <c r="J2" s="52">
        <v>7</v>
      </c>
      <c r="K2" s="54">
        <v>40574</v>
      </c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55">
        <v>2.2000000000000002</v>
      </c>
      <c r="B3" s="56">
        <v>5438633</v>
      </c>
      <c r="C3" s="56">
        <v>32767</v>
      </c>
      <c r="D3" s="56">
        <v>1897171869</v>
      </c>
      <c r="E3" s="69">
        <v>7222425</v>
      </c>
      <c r="F3" s="56" t="s">
        <v>55</v>
      </c>
      <c r="G3" s="57">
        <v>40571.000208333331</v>
      </c>
      <c r="H3" s="56">
        <v>30</v>
      </c>
      <c r="I3" s="56" t="s">
        <v>58</v>
      </c>
      <c r="J3" s="56">
        <v>6</v>
      </c>
      <c r="K3" s="58">
        <v>40572</v>
      </c>
      <c r="M3" s="37"/>
      <c r="N3" s="37"/>
      <c r="O3" s="37"/>
      <c r="P3" s="37"/>
      <c r="Q3" s="37"/>
      <c r="R3" s="37"/>
      <c r="S3" s="37"/>
      <c r="T3" s="37"/>
    </row>
    <row r="4" spans="1:20" x14ac:dyDescent="0.25">
      <c r="A4" s="51">
        <v>2.2000000000000002</v>
      </c>
      <c r="B4" s="52">
        <v>13417</v>
      </c>
      <c r="C4" s="52">
        <v>32767</v>
      </c>
      <c r="D4" s="52">
        <v>1897212191</v>
      </c>
      <c r="E4" s="68">
        <v>13417</v>
      </c>
      <c r="F4" s="52" t="s">
        <v>55</v>
      </c>
      <c r="G4" s="53">
        <v>40571.028101851851</v>
      </c>
      <c r="H4" s="52">
        <v>3</v>
      </c>
      <c r="I4" s="52" t="s">
        <v>57</v>
      </c>
      <c r="J4" s="52">
        <v>7</v>
      </c>
      <c r="K4" s="54">
        <v>40570</v>
      </c>
      <c r="M4" s="37"/>
      <c r="N4" s="37"/>
      <c r="O4" s="37"/>
      <c r="P4" s="37"/>
      <c r="Q4" s="37"/>
      <c r="R4" s="37"/>
      <c r="S4" s="37"/>
      <c r="T4" s="37"/>
    </row>
    <row r="5" spans="1:20" x14ac:dyDescent="0.25">
      <c r="A5" s="55">
        <v>2.2200000000000002</v>
      </c>
      <c r="B5" s="56">
        <v>8927356</v>
      </c>
      <c r="C5" s="56">
        <v>32767</v>
      </c>
      <c r="D5" s="56">
        <v>1884185014</v>
      </c>
      <c r="E5" s="69">
        <v>8941606</v>
      </c>
      <c r="F5" s="56" t="s">
        <v>55</v>
      </c>
      <c r="G5" s="57">
        <v>40560.762291666666</v>
      </c>
      <c r="H5" s="56">
        <v>90</v>
      </c>
      <c r="I5" s="56" t="s">
        <v>60</v>
      </c>
      <c r="J5" s="56">
        <v>6</v>
      </c>
      <c r="K5" s="58">
        <v>40568</v>
      </c>
      <c r="M5" s="37"/>
      <c r="N5" s="37"/>
      <c r="O5" s="37"/>
      <c r="P5" s="37"/>
      <c r="Q5" s="37"/>
      <c r="R5" s="37"/>
      <c r="S5" s="37"/>
      <c r="T5" s="37"/>
    </row>
    <row r="6" spans="1:20" x14ac:dyDescent="0.25">
      <c r="A6" s="51">
        <v>2.2200000000000002</v>
      </c>
      <c r="B6" s="52">
        <v>217955</v>
      </c>
      <c r="C6" s="52">
        <v>32767</v>
      </c>
      <c r="D6" s="52">
        <v>1884185253</v>
      </c>
      <c r="E6" s="68">
        <v>5217955</v>
      </c>
      <c r="F6" s="52" t="s">
        <v>55</v>
      </c>
      <c r="G6" s="53">
        <v>40560.762430555558</v>
      </c>
      <c r="H6" s="52">
        <v>90</v>
      </c>
      <c r="I6" s="52" t="s">
        <v>60</v>
      </c>
      <c r="J6" s="52">
        <v>6</v>
      </c>
      <c r="K6" s="54">
        <v>40566</v>
      </c>
      <c r="M6" s="37"/>
      <c r="N6" s="37"/>
      <c r="O6" s="37"/>
      <c r="P6" s="37"/>
      <c r="Q6" s="37"/>
      <c r="R6" s="37"/>
      <c r="S6" s="37"/>
      <c r="T6" s="37"/>
    </row>
    <row r="7" spans="1:20" x14ac:dyDescent="0.25">
      <c r="A7" s="55">
        <v>2.2200000000000002</v>
      </c>
      <c r="B7" s="56">
        <v>1897642</v>
      </c>
      <c r="C7" s="56">
        <v>32767</v>
      </c>
      <c r="D7" s="56">
        <v>1884185453</v>
      </c>
      <c r="E7" s="69">
        <v>6097718</v>
      </c>
      <c r="F7" s="56" t="s">
        <v>55</v>
      </c>
      <c r="G7" s="57">
        <v>40560.762546296297</v>
      </c>
      <c r="H7" s="56">
        <v>90</v>
      </c>
      <c r="I7" s="56" t="s">
        <v>60</v>
      </c>
      <c r="J7" s="56">
        <v>6</v>
      </c>
      <c r="K7" s="58">
        <v>40564</v>
      </c>
      <c r="M7" s="37"/>
      <c r="N7" s="37"/>
      <c r="O7" s="37"/>
      <c r="P7" s="37"/>
      <c r="Q7" s="37"/>
      <c r="R7" s="37"/>
      <c r="S7" s="37"/>
      <c r="T7" s="37"/>
    </row>
    <row r="8" spans="1:20" x14ac:dyDescent="0.25">
      <c r="A8" s="51">
        <v>2.2200000000000002</v>
      </c>
      <c r="B8" s="52">
        <v>1789413</v>
      </c>
      <c r="C8" s="52">
        <v>32767</v>
      </c>
      <c r="D8" s="52">
        <v>1884185737</v>
      </c>
      <c r="E8" s="68">
        <v>4205813</v>
      </c>
      <c r="F8" s="52" t="s">
        <v>55</v>
      </c>
      <c r="G8" s="53">
        <v>40560.762719907405</v>
      </c>
      <c r="H8" s="52">
        <v>90</v>
      </c>
      <c r="I8" s="52" t="s">
        <v>60</v>
      </c>
      <c r="J8" s="52">
        <v>6</v>
      </c>
      <c r="K8" s="54">
        <v>40562</v>
      </c>
      <c r="M8" s="37"/>
      <c r="N8" s="37"/>
      <c r="O8" s="37"/>
      <c r="P8" s="37"/>
      <c r="Q8" s="37"/>
      <c r="R8" s="37"/>
      <c r="S8" s="37"/>
      <c r="T8" s="37"/>
    </row>
    <row r="9" spans="1:20" x14ac:dyDescent="0.25">
      <c r="A9" s="55">
        <v>2.2999999999999998</v>
      </c>
      <c r="B9" s="56">
        <v>94345</v>
      </c>
      <c r="C9" s="56">
        <v>32767</v>
      </c>
      <c r="D9" s="56">
        <v>1897003819</v>
      </c>
      <c r="E9" s="69">
        <v>149036</v>
      </c>
      <c r="F9" s="56" t="s">
        <v>55</v>
      </c>
      <c r="G9" s="57">
        <v>40570.90415509259</v>
      </c>
      <c r="H9" s="56">
        <v>1</v>
      </c>
      <c r="I9" s="56" t="s">
        <v>61</v>
      </c>
      <c r="J9" s="56">
        <v>3</v>
      </c>
      <c r="K9" s="58">
        <v>40560</v>
      </c>
      <c r="M9" t="s">
        <v>71</v>
      </c>
    </row>
    <row r="10" spans="1:20" x14ac:dyDescent="0.25">
      <c r="A10" s="51">
        <v>2.2999999999999998</v>
      </c>
      <c r="B10" s="52">
        <v>2831</v>
      </c>
      <c r="C10" s="52">
        <v>32767</v>
      </c>
      <c r="D10" s="52">
        <v>1897074264</v>
      </c>
      <c r="E10" s="68">
        <v>2831</v>
      </c>
      <c r="F10" s="52" t="s">
        <v>55</v>
      </c>
      <c r="G10" s="53">
        <v>40570.941874999997</v>
      </c>
      <c r="H10" s="52">
        <v>1</v>
      </c>
      <c r="I10" s="52" t="s">
        <v>62</v>
      </c>
      <c r="J10" s="52">
        <v>3</v>
      </c>
      <c r="K10" s="54">
        <v>40558</v>
      </c>
      <c r="N10" s="22"/>
    </row>
    <row r="11" spans="1:20" x14ac:dyDescent="0.25">
      <c r="A11" s="55">
        <v>2.2999999999999998</v>
      </c>
      <c r="B11" s="56">
        <v>6260241</v>
      </c>
      <c r="C11" s="56">
        <v>32767</v>
      </c>
      <c r="D11" s="56">
        <v>1897179851</v>
      </c>
      <c r="E11" s="69">
        <v>6260241</v>
      </c>
      <c r="F11" s="56" t="s">
        <v>55</v>
      </c>
      <c r="G11" s="57">
        <v>40571.005439814813</v>
      </c>
      <c r="H11" s="56">
        <v>7</v>
      </c>
      <c r="I11" s="56" t="s">
        <v>61</v>
      </c>
      <c r="J11" s="56">
        <v>3</v>
      </c>
      <c r="K11" s="58">
        <v>40556</v>
      </c>
      <c r="M11" t="s">
        <v>76</v>
      </c>
    </row>
    <row r="12" spans="1:20" x14ac:dyDescent="0.25">
      <c r="A12" s="51">
        <v>2.31</v>
      </c>
      <c r="B12" s="52">
        <v>2577</v>
      </c>
      <c r="C12" s="52">
        <v>32767</v>
      </c>
      <c r="D12" s="52">
        <v>1897102842</v>
      </c>
      <c r="E12" s="68">
        <v>2577</v>
      </c>
      <c r="F12" s="52" t="s">
        <v>55</v>
      </c>
      <c r="G12" s="53">
        <v>40570.957280092596</v>
      </c>
      <c r="H12" s="52">
        <v>1</v>
      </c>
      <c r="I12" s="52" t="s">
        <v>62</v>
      </c>
      <c r="J12" s="52">
        <v>3</v>
      </c>
      <c r="K12" s="54">
        <v>40554</v>
      </c>
      <c r="M12" t="s">
        <v>75</v>
      </c>
    </row>
    <row r="13" spans="1:20" x14ac:dyDescent="0.25">
      <c r="A13" s="55">
        <v>2.39</v>
      </c>
      <c r="B13" s="56">
        <v>6729</v>
      </c>
      <c r="C13" s="56">
        <v>32767</v>
      </c>
      <c r="D13" s="56">
        <v>1897046767</v>
      </c>
      <c r="E13" s="69">
        <v>6729</v>
      </c>
      <c r="F13" s="56" t="s">
        <v>55</v>
      </c>
      <c r="G13" s="57">
        <v>40570.926944444444</v>
      </c>
      <c r="H13" s="56">
        <v>1</v>
      </c>
      <c r="I13" s="56" t="s">
        <v>62</v>
      </c>
      <c r="J13" s="56">
        <v>3</v>
      </c>
      <c r="K13" s="58">
        <v>40552</v>
      </c>
      <c r="M13" t="s">
        <v>72</v>
      </c>
      <c r="N13" s="63" t="s">
        <v>77</v>
      </c>
    </row>
    <row r="14" spans="1:20" x14ac:dyDescent="0.25">
      <c r="A14" s="51">
        <v>2.4</v>
      </c>
      <c r="B14" s="52">
        <v>25764</v>
      </c>
      <c r="C14" s="52">
        <v>32767</v>
      </c>
      <c r="D14" s="52">
        <v>1887025464</v>
      </c>
      <c r="E14" s="68">
        <v>503183</v>
      </c>
      <c r="F14" s="52" t="s">
        <v>55</v>
      </c>
      <c r="G14" s="53">
        <v>40563.703935185185</v>
      </c>
      <c r="H14" s="52">
        <v>7</v>
      </c>
      <c r="I14" s="52" t="s">
        <v>57</v>
      </c>
      <c r="J14" s="52">
        <v>7</v>
      </c>
      <c r="K14" s="54">
        <v>40550</v>
      </c>
      <c r="M14" t="s">
        <v>24</v>
      </c>
      <c r="N14" s="38">
        <f>VLOOKUP(DATE(2011,1,29),CHOOSE({1,2},$K$2:$K$207,$E$2:$E$207),2,0)</f>
        <v>7222425</v>
      </c>
    </row>
    <row r="15" spans="1:20" x14ac:dyDescent="0.25">
      <c r="A15" s="55">
        <v>2.4300000000000002</v>
      </c>
      <c r="B15" s="56">
        <v>181004</v>
      </c>
      <c r="C15" s="56">
        <v>32767</v>
      </c>
      <c r="D15" s="56">
        <v>1896479899</v>
      </c>
      <c r="E15" s="69">
        <v>194004</v>
      </c>
      <c r="F15" s="56" t="s">
        <v>55</v>
      </c>
      <c r="G15" s="57">
        <v>40570.578865740739</v>
      </c>
      <c r="H15" s="56">
        <v>7</v>
      </c>
      <c r="I15" s="56" t="s">
        <v>61</v>
      </c>
      <c r="J15" s="56">
        <v>3</v>
      </c>
      <c r="K15" s="58">
        <v>40548</v>
      </c>
    </row>
    <row r="16" spans="1:20" x14ac:dyDescent="0.25">
      <c r="A16" s="51">
        <v>2.44</v>
      </c>
      <c r="B16" s="52">
        <v>2959046</v>
      </c>
      <c r="C16" s="52">
        <v>32767</v>
      </c>
      <c r="D16" s="52">
        <v>1892906924</v>
      </c>
      <c r="E16" s="68">
        <v>7146820</v>
      </c>
      <c r="F16" s="52" t="s">
        <v>55</v>
      </c>
      <c r="G16" s="53">
        <v>40567.781956018516</v>
      </c>
      <c r="H16" s="52">
        <v>90</v>
      </c>
      <c r="I16" s="52" t="s">
        <v>63</v>
      </c>
      <c r="J16" s="52">
        <v>4</v>
      </c>
      <c r="K16" s="54">
        <v>40546</v>
      </c>
      <c r="M16" t="s">
        <v>78</v>
      </c>
    </row>
    <row r="17" spans="1:14" x14ac:dyDescent="0.25">
      <c r="A17" s="55">
        <v>2.4500000000000002</v>
      </c>
      <c r="B17" s="56">
        <v>42998</v>
      </c>
      <c r="C17" s="56">
        <v>32767</v>
      </c>
      <c r="D17" s="56">
        <v>1873211811</v>
      </c>
      <c r="E17" s="69">
        <v>42999</v>
      </c>
      <c r="F17" s="56" t="s">
        <v>55</v>
      </c>
      <c r="G17" s="57">
        <v>40552.354004629633</v>
      </c>
      <c r="H17" s="56">
        <v>90</v>
      </c>
      <c r="I17" s="56" t="s">
        <v>63</v>
      </c>
      <c r="J17" s="56">
        <v>4</v>
      </c>
      <c r="K17" s="58">
        <v>40544</v>
      </c>
    </row>
    <row r="18" spans="1:14" x14ac:dyDescent="0.25">
      <c r="A18" s="51">
        <v>2.4700000000000002</v>
      </c>
      <c r="B18" s="52">
        <v>2337485</v>
      </c>
      <c r="C18" s="52">
        <v>32767</v>
      </c>
      <c r="D18" s="52">
        <v>1897141389</v>
      </c>
      <c r="E18" s="68">
        <v>2337485</v>
      </c>
      <c r="F18" s="52" t="s">
        <v>55</v>
      </c>
      <c r="G18" s="53">
        <v>40570.979745370372</v>
      </c>
      <c r="H18" s="52">
        <v>90</v>
      </c>
      <c r="I18" s="52" t="s">
        <v>64</v>
      </c>
      <c r="J18" s="52">
        <v>2</v>
      </c>
      <c r="K18" s="54">
        <v>40542</v>
      </c>
      <c r="M18" t="s">
        <v>73</v>
      </c>
    </row>
    <row r="19" spans="1:14" x14ac:dyDescent="0.25">
      <c r="A19" s="55">
        <v>2.48</v>
      </c>
      <c r="B19" s="56">
        <v>1053872</v>
      </c>
      <c r="C19" s="56">
        <v>32767</v>
      </c>
      <c r="D19" s="56">
        <v>1896242798</v>
      </c>
      <c r="E19" s="69">
        <v>1054804</v>
      </c>
      <c r="F19" s="56" t="s">
        <v>55</v>
      </c>
      <c r="G19" s="57">
        <v>40570.203634259262</v>
      </c>
      <c r="H19" s="56">
        <v>1</v>
      </c>
      <c r="I19" s="56" t="s">
        <v>65</v>
      </c>
      <c r="J19" s="56">
        <v>3</v>
      </c>
      <c r="K19" s="58">
        <v>40540</v>
      </c>
    </row>
    <row r="20" spans="1:14" x14ac:dyDescent="0.25">
      <c r="A20" s="51">
        <v>2.48</v>
      </c>
      <c r="B20" s="52">
        <v>36901042</v>
      </c>
      <c r="C20" s="52">
        <v>32767</v>
      </c>
      <c r="D20" s="52">
        <v>1896732441</v>
      </c>
      <c r="E20" s="68">
        <v>51901042</v>
      </c>
      <c r="F20" s="52" t="s">
        <v>55</v>
      </c>
      <c r="G20" s="53">
        <v>40570.756979166668</v>
      </c>
      <c r="H20" s="52">
        <v>90</v>
      </c>
      <c r="I20" s="52" t="s">
        <v>64</v>
      </c>
      <c r="J20" s="52">
        <v>2</v>
      </c>
      <c r="K20" s="54">
        <v>40538</v>
      </c>
      <c r="N20" s="38"/>
    </row>
    <row r="21" spans="1:14" x14ac:dyDescent="0.25">
      <c r="A21" s="55">
        <v>2.4900000000000002</v>
      </c>
      <c r="B21" s="56">
        <v>1684811</v>
      </c>
      <c r="C21" s="56">
        <v>32767</v>
      </c>
      <c r="D21" s="56">
        <v>1890980091</v>
      </c>
      <c r="E21" s="69">
        <v>1684826</v>
      </c>
      <c r="F21" s="56" t="s">
        <v>55</v>
      </c>
      <c r="G21" s="57">
        <v>40566.538773148146</v>
      </c>
      <c r="H21" s="56">
        <v>90</v>
      </c>
      <c r="I21" s="56" t="s">
        <v>62</v>
      </c>
      <c r="J21" s="56">
        <v>3</v>
      </c>
      <c r="K21" s="58">
        <v>40536</v>
      </c>
    </row>
    <row r="22" spans="1:14" x14ac:dyDescent="0.25">
      <c r="A22" s="51">
        <v>2.5</v>
      </c>
      <c r="B22" s="52">
        <v>10000000</v>
      </c>
      <c r="C22" s="52">
        <v>32767</v>
      </c>
      <c r="D22" s="52">
        <v>1790167893</v>
      </c>
      <c r="E22" s="68">
        <v>10000000</v>
      </c>
      <c r="F22" s="52" t="s">
        <v>55</v>
      </c>
      <c r="G22" s="53">
        <v>40482.279432870368</v>
      </c>
      <c r="H22" s="52">
        <v>90</v>
      </c>
      <c r="I22" s="52" t="s">
        <v>66</v>
      </c>
      <c r="J22" s="52">
        <v>7</v>
      </c>
      <c r="K22" s="54">
        <v>40534</v>
      </c>
    </row>
    <row r="23" spans="1:14" x14ac:dyDescent="0.25">
      <c r="A23" s="55">
        <v>2.5</v>
      </c>
      <c r="B23" s="56">
        <v>12704500</v>
      </c>
      <c r="C23" s="56">
        <v>32767</v>
      </c>
      <c r="D23" s="56">
        <v>1818033126</v>
      </c>
      <c r="E23" s="69">
        <v>20000000</v>
      </c>
      <c r="F23" s="56" t="s">
        <v>55</v>
      </c>
      <c r="G23" s="57">
        <v>40508.525613425925</v>
      </c>
      <c r="H23" s="56">
        <v>90</v>
      </c>
      <c r="I23" s="56" t="s">
        <v>62</v>
      </c>
      <c r="J23" s="56">
        <v>3</v>
      </c>
      <c r="K23" s="58">
        <v>40532</v>
      </c>
    </row>
    <row r="24" spans="1:14" x14ac:dyDescent="0.25">
      <c r="A24" s="51">
        <v>2.5</v>
      </c>
      <c r="B24" s="52">
        <v>14469142</v>
      </c>
      <c r="C24" s="52">
        <v>32767</v>
      </c>
      <c r="D24" s="52">
        <v>1838369959</v>
      </c>
      <c r="E24" s="68">
        <v>20000000</v>
      </c>
      <c r="F24" s="52" t="s">
        <v>55</v>
      </c>
      <c r="G24" s="53">
        <v>40525.312349537038</v>
      </c>
      <c r="H24" s="52">
        <v>90</v>
      </c>
      <c r="I24" s="52" t="s">
        <v>67</v>
      </c>
      <c r="J24" s="52">
        <v>5</v>
      </c>
      <c r="K24" s="54">
        <v>40530</v>
      </c>
      <c r="N24" s="38"/>
    </row>
    <row r="25" spans="1:14" x14ac:dyDescent="0.25">
      <c r="A25" s="55">
        <v>2.5</v>
      </c>
      <c r="B25" s="56">
        <v>103928767</v>
      </c>
      <c r="C25" s="56">
        <v>32767</v>
      </c>
      <c r="D25" s="56">
        <v>1825710429</v>
      </c>
      <c r="E25" s="69">
        <v>2000000000</v>
      </c>
      <c r="F25" s="56" t="s">
        <v>55</v>
      </c>
      <c r="G25" s="57">
        <v>40553.041145833333</v>
      </c>
      <c r="H25" s="56">
        <v>90</v>
      </c>
      <c r="I25" s="56" t="s">
        <v>68</v>
      </c>
      <c r="J25" s="56">
        <v>4</v>
      </c>
      <c r="K25" s="58">
        <v>40528</v>
      </c>
    </row>
    <row r="26" spans="1:14" x14ac:dyDescent="0.25">
      <c r="A26" s="51">
        <v>2.5</v>
      </c>
      <c r="B26" s="52">
        <v>14006933</v>
      </c>
      <c r="C26" s="52">
        <v>32767</v>
      </c>
      <c r="D26" s="52">
        <v>1880676219</v>
      </c>
      <c r="E26" s="68">
        <v>14006933</v>
      </c>
      <c r="F26" s="52" t="s">
        <v>55</v>
      </c>
      <c r="G26" s="53">
        <v>40558.241249999999</v>
      </c>
      <c r="H26" s="52">
        <v>30</v>
      </c>
      <c r="I26" s="52" t="s">
        <v>69</v>
      </c>
      <c r="J26" s="52">
        <v>6</v>
      </c>
      <c r="K26" s="54">
        <v>40526</v>
      </c>
    </row>
    <row r="27" spans="1:14" x14ac:dyDescent="0.25">
      <c r="A27" s="55">
        <v>2.5</v>
      </c>
      <c r="B27" s="56">
        <v>732893</v>
      </c>
      <c r="C27" s="56">
        <v>32767</v>
      </c>
      <c r="D27" s="56">
        <v>1886191973</v>
      </c>
      <c r="E27" s="69">
        <v>2233793</v>
      </c>
      <c r="F27" s="56" t="s">
        <v>55</v>
      </c>
      <c r="G27" s="57">
        <v>40562.88554398148</v>
      </c>
      <c r="H27" s="56">
        <v>90</v>
      </c>
      <c r="I27" s="56" t="s">
        <v>57</v>
      </c>
      <c r="J27" s="56">
        <v>1</v>
      </c>
      <c r="K27" s="58">
        <v>40524</v>
      </c>
    </row>
    <row r="28" spans="1:14" x14ac:dyDescent="0.25">
      <c r="A28" s="51">
        <v>2.5</v>
      </c>
      <c r="B28" s="52">
        <v>32493531</v>
      </c>
      <c r="C28" s="52">
        <v>32767</v>
      </c>
      <c r="D28" s="52">
        <v>1888461748</v>
      </c>
      <c r="E28" s="68">
        <v>38503531</v>
      </c>
      <c r="F28" s="52" t="s">
        <v>55</v>
      </c>
      <c r="G28" s="53">
        <v>40564.866793981484</v>
      </c>
      <c r="H28" s="52">
        <v>90</v>
      </c>
      <c r="I28" s="52" t="s">
        <v>58</v>
      </c>
      <c r="J28" s="52">
        <v>6</v>
      </c>
      <c r="K28" s="54">
        <v>40522</v>
      </c>
    </row>
    <row r="29" spans="1:14" x14ac:dyDescent="0.25">
      <c r="A29" s="55">
        <v>2.5</v>
      </c>
      <c r="B29" s="56">
        <v>303318</v>
      </c>
      <c r="C29" s="56">
        <v>32767</v>
      </c>
      <c r="D29" s="56">
        <v>1893783042</v>
      </c>
      <c r="E29" s="69">
        <v>303318</v>
      </c>
      <c r="F29" s="56" t="s">
        <v>55</v>
      </c>
      <c r="G29" s="57">
        <v>40568.382511574076</v>
      </c>
      <c r="H29" s="56">
        <v>14</v>
      </c>
      <c r="I29" s="56" t="s">
        <v>59</v>
      </c>
      <c r="J29" s="56">
        <v>5</v>
      </c>
      <c r="K29" s="58">
        <v>40520</v>
      </c>
    </row>
    <row r="30" spans="1:14" x14ac:dyDescent="0.25">
      <c r="A30" s="51">
        <v>2.5</v>
      </c>
      <c r="B30" s="52">
        <v>368169</v>
      </c>
      <c r="C30" s="52">
        <v>32767</v>
      </c>
      <c r="D30" s="52">
        <v>1895003519</v>
      </c>
      <c r="E30" s="68">
        <v>368169</v>
      </c>
      <c r="F30" s="52" t="s">
        <v>55</v>
      </c>
      <c r="G30" s="53">
        <v>40569.267650462964</v>
      </c>
      <c r="H30" s="52">
        <v>3</v>
      </c>
      <c r="I30" s="52" t="s">
        <v>57</v>
      </c>
      <c r="J30" s="52">
        <v>7</v>
      </c>
      <c r="K30" s="54">
        <v>40518</v>
      </c>
    </row>
    <row r="31" spans="1:14" x14ac:dyDescent="0.25">
      <c r="A31" s="55">
        <v>2.5</v>
      </c>
      <c r="B31" s="56">
        <v>841833</v>
      </c>
      <c r="C31" s="56">
        <v>32767</v>
      </c>
      <c r="D31" s="56">
        <v>1895217440</v>
      </c>
      <c r="E31" s="69">
        <v>841833</v>
      </c>
      <c r="F31" s="56" t="s">
        <v>55</v>
      </c>
      <c r="G31" s="57">
        <v>40569.524085648147</v>
      </c>
      <c r="H31" s="56">
        <v>90</v>
      </c>
      <c r="I31" s="56" t="s">
        <v>64</v>
      </c>
      <c r="J31" s="56">
        <v>2</v>
      </c>
      <c r="K31" s="58">
        <v>40516</v>
      </c>
    </row>
    <row r="32" spans="1:14" x14ac:dyDescent="0.25">
      <c r="A32" s="51">
        <v>2.5</v>
      </c>
      <c r="B32" s="52">
        <v>2497</v>
      </c>
      <c r="C32" s="52">
        <v>32767</v>
      </c>
      <c r="D32" s="52">
        <v>1896873064</v>
      </c>
      <c r="E32" s="68">
        <v>2497</v>
      </c>
      <c r="F32" s="52" t="s">
        <v>55</v>
      </c>
      <c r="G32" s="53">
        <v>40570.834305555552</v>
      </c>
      <c r="H32" s="52">
        <v>1</v>
      </c>
      <c r="I32" s="52" t="s">
        <v>60</v>
      </c>
      <c r="J32" s="52">
        <v>3</v>
      </c>
      <c r="K32" s="54">
        <v>40514</v>
      </c>
    </row>
    <row r="33" spans="1:11" x14ac:dyDescent="0.25">
      <c r="A33" s="55">
        <v>2.5</v>
      </c>
      <c r="B33" s="56">
        <v>321625</v>
      </c>
      <c r="C33" s="56">
        <v>32767</v>
      </c>
      <c r="D33" s="56">
        <v>1896882209</v>
      </c>
      <c r="E33" s="69">
        <v>321625</v>
      </c>
      <c r="F33" s="56" t="s">
        <v>55</v>
      </c>
      <c r="G33" s="57">
        <v>40570.839733796296</v>
      </c>
      <c r="H33" s="56">
        <v>90</v>
      </c>
      <c r="I33" s="56" t="s">
        <v>61</v>
      </c>
      <c r="J33" s="56">
        <v>4</v>
      </c>
      <c r="K33" s="58">
        <v>40512</v>
      </c>
    </row>
    <row r="34" spans="1:11" x14ac:dyDescent="0.25">
      <c r="A34" s="51">
        <v>2.5</v>
      </c>
      <c r="B34" s="52">
        <v>14301481</v>
      </c>
      <c r="C34" s="52">
        <v>32767</v>
      </c>
      <c r="D34" s="52">
        <v>1897182825</v>
      </c>
      <c r="E34" s="68">
        <v>14301481</v>
      </c>
      <c r="F34" s="52" t="s">
        <v>55</v>
      </c>
      <c r="G34" s="53">
        <v>40571.007372685184</v>
      </c>
      <c r="H34" s="52">
        <v>30</v>
      </c>
      <c r="I34" s="52" t="s">
        <v>63</v>
      </c>
      <c r="J34" s="52">
        <v>4</v>
      </c>
      <c r="K34" s="54">
        <v>40510</v>
      </c>
    </row>
    <row r="35" spans="1:11" x14ac:dyDescent="0.25">
      <c r="A35" s="55">
        <v>2.5099</v>
      </c>
      <c r="B35" s="56">
        <v>29859840</v>
      </c>
      <c r="C35" s="56">
        <v>32767</v>
      </c>
      <c r="D35" s="56">
        <v>1813717922</v>
      </c>
      <c r="E35" s="69">
        <v>29859840</v>
      </c>
      <c r="F35" s="56" t="s">
        <v>55</v>
      </c>
      <c r="G35" s="57">
        <v>40504.252893518518</v>
      </c>
      <c r="H35" s="56">
        <v>90</v>
      </c>
      <c r="I35" s="56" t="s">
        <v>68</v>
      </c>
      <c r="J35" s="56">
        <v>4</v>
      </c>
      <c r="K35" s="58">
        <v>40508</v>
      </c>
    </row>
    <row r="36" spans="1:11" x14ac:dyDescent="0.25">
      <c r="A36" s="51">
        <v>2.5099</v>
      </c>
      <c r="B36" s="52">
        <v>31593</v>
      </c>
      <c r="C36" s="52">
        <v>32767</v>
      </c>
      <c r="D36" s="52">
        <v>1895442994</v>
      </c>
      <c r="E36" s="68">
        <v>32493</v>
      </c>
      <c r="F36" s="52" t="s">
        <v>55</v>
      </c>
      <c r="G36" s="53">
        <v>40569.703692129631</v>
      </c>
      <c r="H36" s="52">
        <v>90</v>
      </c>
      <c r="I36" s="52" t="s">
        <v>62</v>
      </c>
      <c r="J36" s="52">
        <v>3</v>
      </c>
      <c r="K36" s="54">
        <v>40506</v>
      </c>
    </row>
    <row r="37" spans="1:11" x14ac:dyDescent="0.25">
      <c r="A37" s="55">
        <v>2.52</v>
      </c>
      <c r="B37" s="56">
        <v>35831808</v>
      </c>
      <c r="C37" s="56">
        <v>32767</v>
      </c>
      <c r="D37" s="56">
        <v>1813718126</v>
      </c>
      <c r="E37" s="69">
        <v>35831808</v>
      </c>
      <c r="F37" s="56" t="s">
        <v>55</v>
      </c>
      <c r="G37" s="57">
        <v>40504.253182870372</v>
      </c>
      <c r="H37" s="56">
        <v>90</v>
      </c>
      <c r="I37" s="56" t="s">
        <v>68</v>
      </c>
      <c r="J37" s="56">
        <v>4</v>
      </c>
      <c r="K37" s="58">
        <v>40504</v>
      </c>
    </row>
    <row r="38" spans="1:11" x14ac:dyDescent="0.25">
      <c r="A38" s="51">
        <v>2.5299</v>
      </c>
      <c r="B38" s="52">
        <v>42998169</v>
      </c>
      <c r="C38" s="52">
        <v>32767</v>
      </c>
      <c r="D38" s="52">
        <v>1813718354</v>
      </c>
      <c r="E38" s="68">
        <v>42998169</v>
      </c>
      <c r="F38" s="52" t="s">
        <v>55</v>
      </c>
      <c r="G38" s="53">
        <v>40504.253472222219</v>
      </c>
      <c r="H38" s="52">
        <v>90</v>
      </c>
      <c r="I38" s="52" t="s">
        <v>68</v>
      </c>
      <c r="J38" s="52">
        <v>4</v>
      </c>
      <c r="K38" s="54">
        <v>40502</v>
      </c>
    </row>
    <row r="39" spans="1:11" x14ac:dyDescent="0.25">
      <c r="A39" s="55">
        <v>2.54</v>
      </c>
      <c r="B39" s="56">
        <v>51597802</v>
      </c>
      <c r="C39" s="56">
        <v>32767</v>
      </c>
      <c r="D39" s="56">
        <v>1813718633</v>
      </c>
      <c r="E39" s="69">
        <v>51597802</v>
      </c>
      <c r="F39" s="56" t="s">
        <v>55</v>
      </c>
      <c r="G39" s="57">
        <v>40504.253807870373</v>
      </c>
      <c r="H39" s="56">
        <v>90</v>
      </c>
      <c r="I39" s="56" t="s">
        <v>68</v>
      </c>
      <c r="J39" s="56">
        <v>4</v>
      </c>
      <c r="K39" s="58">
        <v>40500</v>
      </c>
    </row>
    <row r="40" spans="1:11" x14ac:dyDescent="0.25">
      <c r="A40" s="51">
        <v>2.54</v>
      </c>
      <c r="B40" s="52">
        <v>1680412</v>
      </c>
      <c r="C40" s="52">
        <v>32767</v>
      </c>
      <c r="D40" s="52">
        <v>1894543474</v>
      </c>
      <c r="E40" s="68">
        <v>1880412</v>
      </c>
      <c r="F40" s="52" t="s">
        <v>55</v>
      </c>
      <c r="G40" s="53">
        <v>40570.397835648146</v>
      </c>
      <c r="H40" s="52">
        <v>90</v>
      </c>
      <c r="I40" s="52" t="s">
        <v>63</v>
      </c>
      <c r="J40" s="52">
        <v>2</v>
      </c>
      <c r="K40" s="54">
        <v>40498</v>
      </c>
    </row>
    <row r="41" spans="1:11" x14ac:dyDescent="0.25">
      <c r="A41" s="55">
        <v>2.54</v>
      </c>
      <c r="B41" s="56">
        <v>9704320</v>
      </c>
      <c r="C41" s="56">
        <v>32767</v>
      </c>
      <c r="D41" s="56">
        <v>1897147915</v>
      </c>
      <c r="E41" s="69">
        <v>9704320</v>
      </c>
      <c r="F41" s="56" t="s">
        <v>55</v>
      </c>
      <c r="G41" s="57">
        <v>40570.983831018515</v>
      </c>
      <c r="H41" s="56">
        <v>90</v>
      </c>
      <c r="I41" s="56" t="s">
        <v>61</v>
      </c>
      <c r="J41" s="56">
        <v>4</v>
      </c>
      <c r="K41" s="58">
        <v>40496</v>
      </c>
    </row>
    <row r="42" spans="1:11" x14ac:dyDescent="0.25">
      <c r="A42" s="51">
        <v>2.5499999999999998</v>
      </c>
      <c r="B42" s="52">
        <v>61917362</v>
      </c>
      <c r="C42" s="52">
        <v>32767</v>
      </c>
      <c r="D42" s="52">
        <v>1813718813</v>
      </c>
      <c r="E42" s="68">
        <v>61917362</v>
      </c>
      <c r="F42" s="52" t="s">
        <v>55</v>
      </c>
      <c r="G42" s="53">
        <v>40504.25403935185</v>
      </c>
      <c r="H42" s="52">
        <v>90</v>
      </c>
      <c r="I42" s="52" t="s">
        <v>68</v>
      </c>
      <c r="J42" s="52">
        <v>4</v>
      </c>
      <c r="K42" s="54">
        <v>40494</v>
      </c>
    </row>
    <row r="43" spans="1:11" x14ac:dyDescent="0.25">
      <c r="A43" s="55">
        <v>2.5499999999999998</v>
      </c>
      <c r="B43" s="56">
        <v>47813453</v>
      </c>
      <c r="C43" s="56">
        <v>32767</v>
      </c>
      <c r="D43" s="56">
        <v>1867435110</v>
      </c>
      <c r="E43" s="69">
        <v>47813453</v>
      </c>
      <c r="F43" s="56" t="s">
        <v>55</v>
      </c>
      <c r="G43" s="57">
        <v>40547.99759259259</v>
      </c>
      <c r="H43" s="56">
        <v>90</v>
      </c>
      <c r="I43" s="56" t="s">
        <v>68</v>
      </c>
      <c r="J43" s="56">
        <v>4</v>
      </c>
      <c r="K43" s="58">
        <v>40492</v>
      </c>
    </row>
    <row r="44" spans="1:11" x14ac:dyDescent="0.25">
      <c r="A44" s="51">
        <v>2.5499999999999998</v>
      </c>
      <c r="B44" s="52">
        <v>364997</v>
      </c>
      <c r="C44" s="52">
        <v>32767</v>
      </c>
      <c r="D44" s="52">
        <v>1894728463</v>
      </c>
      <c r="E44" s="68">
        <v>364997</v>
      </c>
      <c r="F44" s="52" t="s">
        <v>55</v>
      </c>
      <c r="G44" s="53">
        <v>40569.039733796293</v>
      </c>
      <c r="H44" s="52">
        <v>90</v>
      </c>
      <c r="I44" s="52" t="s">
        <v>65</v>
      </c>
      <c r="J44" s="52">
        <v>3</v>
      </c>
      <c r="K44" s="54">
        <v>40490</v>
      </c>
    </row>
    <row r="45" spans="1:11" x14ac:dyDescent="0.25">
      <c r="A45" s="55">
        <v>2.5499999999999998</v>
      </c>
      <c r="B45" s="56">
        <v>608073</v>
      </c>
      <c r="C45" s="56">
        <v>32767</v>
      </c>
      <c r="D45" s="56">
        <v>1895950674</v>
      </c>
      <c r="E45" s="69">
        <v>608073</v>
      </c>
      <c r="F45" s="56" t="s">
        <v>55</v>
      </c>
      <c r="G45" s="57">
        <v>40569.977210648147</v>
      </c>
      <c r="H45" s="56">
        <v>90</v>
      </c>
      <c r="I45" s="56" t="s">
        <v>61</v>
      </c>
      <c r="J45" s="56">
        <v>4</v>
      </c>
      <c r="K45" s="58">
        <v>40488</v>
      </c>
    </row>
    <row r="46" spans="1:11" x14ac:dyDescent="0.25">
      <c r="A46" s="51">
        <v>2.56</v>
      </c>
      <c r="B46" s="52">
        <v>74300834</v>
      </c>
      <c r="C46" s="52">
        <v>32767</v>
      </c>
      <c r="D46" s="52">
        <v>1813719142</v>
      </c>
      <c r="E46" s="68">
        <v>74300834</v>
      </c>
      <c r="F46" s="52" t="s">
        <v>55</v>
      </c>
      <c r="G46" s="53">
        <v>40504.254467592589</v>
      </c>
      <c r="H46" s="52">
        <v>90</v>
      </c>
      <c r="I46" s="52" t="s">
        <v>68</v>
      </c>
      <c r="J46" s="52">
        <v>4</v>
      </c>
      <c r="K46" s="54">
        <v>40486</v>
      </c>
    </row>
    <row r="47" spans="1:11" x14ac:dyDescent="0.25">
      <c r="A47" s="55">
        <v>2.57</v>
      </c>
      <c r="B47" s="56">
        <v>89161000</v>
      </c>
      <c r="C47" s="56">
        <v>32767</v>
      </c>
      <c r="D47" s="56">
        <v>1813719365</v>
      </c>
      <c r="E47" s="69">
        <v>89161000</v>
      </c>
      <c r="F47" s="56" t="s">
        <v>55</v>
      </c>
      <c r="G47" s="57">
        <v>40504.25472222222</v>
      </c>
      <c r="H47" s="56">
        <v>90</v>
      </c>
      <c r="I47" s="56" t="s">
        <v>68</v>
      </c>
      <c r="J47" s="56">
        <v>4</v>
      </c>
      <c r="K47" s="58">
        <v>40484</v>
      </c>
    </row>
    <row r="48" spans="1:11" x14ac:dyDescent="0.25">
      <c r="A48" s="51">
        <v>2.57</v>
      </c>
      <c r="B48" s="52">
        <v>151400</v>
      </c>
      <c r="C48" s="52">
        <v>32767</v>
      </c>
      <c r="D48" s="52">
        <v>1843539284</v>
      </c>
      <c r="E48" s="68">
        <v>151402</v>
      </c>
      <c r="F48" s="52" t="s">
        <v>55</v>
      </c>
      <c r="G48" s="53">
        <v>40529.770972222221</v>
      </c>
      <c r="H48" s="52">
        <v>90</v>
      </c>
      <c r="I48" s="52" t="s">
        <v>65</v>
      </c>
      <c r="J48" s="52">
        <v>3</v>
      </c>
      <c r="K48" s="54">
        <v>40482</v>
      </c>
    </row>
    <row r="49" spans="1:11" x14ac:dyDescent="0.25">
      <c r="A49" s="55">
        <v>2.58</v>
      </c>
      <c r="B49" s="56">
        <v>106993200</v>
      </c>
      <c r="C49" s="56">
        <v>32767</v>
      </c>
      <c r="D49" s="56">
        <v>1813719979</v>
      </c>
      <c r="E49" s="69">
        <v>106993200</v>
      </c>
      <c r="F49" s="56" t="s">
        <v>55</v>
      </c>
      <c r="G49" s="57">
        <v>40504.255428240744</v>
      </c>
      <c r="H49" s="56">
        <v>90</v>
      </c>
      <c r="I49" s="56" t="s">
        <v>68</v>
      </c>
      <c r="J49" s="56">
        <v>4</v>
      </c>
      <c r="K49" s="58">
        <v>40480</v>
      </c>
    </row>
    <row r="50" spans="1:11" x14ac:dyDescent="0.25">
      <c r="A50" s="51">
        <v>2.59</v>
      </c>
      <c r="B50" s="52">
        <v>128391840</v>
      </c>
      <c r="C50" s="52">
        <v>32767</v>
      </c>
      <c r="D50" s="52">
        <v>1813720244</v>
      </c>
      <c r="E50" s="68">
        <v>128391840</v>
      </c>
      <c r="F50" s="52" t="s">
        <v>55</v>
      </c>
      <c r="G50" s="53">
        <v>40504.255752314813</v>
      </c>
      <c r="H50" s="52">
        <v>90</v>
      </c>
      <c r="I50" s="52" t="s">
        <v>68</v>
      </c>
      <c r="J50" s="52">
        <v>4</v>
      </c>
      <c r="K50" s="54">
        <v>40478</v>
      </c>
    </row>
    <row r="51" spans="1:11" x14ac:dyDescent="0.25">
      <c r="A51" s="55">
        <v>2.59</v>
      </c>
      <c r="B51" s="56">
        <v>3146569</v>
      </c>
      <c r="C51" s="56">
        <v>32767</v>
      </c>
      <c r="D51" s="56">
        <v>1897144739</v>
      </c>
      <c r="E51" s="69">
        <v>3146569</v>
      </c>
      <c r="F51" s="56" t="s">
        <v>55</v>
      </c>
      <c r="G51" s="57">
        <v>40570.981840277775</v>
      </c>
      <c r="H51" s="56">
        <v>90</v>
      </c>
      <c r="I51" s="56" t="s">
        <v>64</v>
      </c>
      <c r="J51" s="56">
        <v>2</v>
      </c>
      <c r="K51" s="58">
        <v>40476</v>
      </c>
    </row>
    <row r="52" spans="1:11" x14ac:dyDescent="0.25">
      <c r="A52" s="51">
        <v>2.6</v>
      </c>
      <c r="B52" s="52">
        <v>154070200</v>
      </c>
      <c r="C52" s="52">
        <v>32767</v>
      </c>
      <c r="D52" s="52">
        <v>1813720414</v>
      </c>
      <c r="E52" s="68">
        <v>154070200</v>
      </c>
      <c r="F52" s="52" t="s">
        <v>55</v>
      </c>
      <c r="G52" s="53">
        <v>40504.255995370368</v>
      </c>
      <c r="H52" s="52">
        <v>90</v>
      </c>
      <c r="I52" s="52" t="s">
        <v>68</v>
      </c>
      <c r="J52" s="52">
        <v>4</v>
      </c>
      <c r="K52" s="54">
        <v>40474</v>
      </c>
    </row>
    <row r="53" spans="1:11" x14ac:dyDescent="0.25">
      <c r="A53" s="55">
        <v>2.6</v>
      </c>
      <c r="B53" s="56">
        <v>2631524</v>
      </c>
      <c r="C53" s="56">
        <v>32767</v>
      </c>
      <c r="D53" s="56">
        <v>1856217831</v>
      </c>
      <c r="E53" s="69">
        <v>17804459</v>
      </c>
      <c r="F53" s="56" t="s">
        <v>55</v>
      </c>
      <c r="G53" s="57">
        <v>40539.519004629627</v>
      </c>
      <c r="H53" s="56">
        <v>90</v>
      </c>
      <c r="I53" s="56" t="s">
        <v>69</v>
      </c>
      <c r="J53" s="56">
        <v>6</v>
      </c>
      <c r="K53" s="58">
        <v>40472</v>
      </c>
    </row>
    <row r="54" spans="1:11" x14ac:dyDescent="0.25">
      <c r="A54" s="51">
        <v>2.6</v>
      </c>
      <c r="B54" s="52">
        <v>835889</v>
      </c>
      <c r="C54" s="52">
        <v>32767</v>
      </c>
      <c r="D54" s="52">
        <v>1876847889</v>
      </c>
      <c r="E54" s="68">
        <v>857489</v>
      </c>
      <c r="F54" s="52" t="s">
        <v>55</v>
      </c>
      <c r="G54" s="53">
        <v>40555.050173611111</v>
      </c>
      <c r="H54" s="52">
        <v>90</v>
      </c>
      <c r="I54" s="52" t="s">
        <v>63</v>
      </c>
      <c r="J54" s="52">
        <v>2</v>
      </c>
      <c r="K54" s="54">
        <v>40470</v>
      </c>
    </row>
    <row r="55" spans="1:11" x14ac:dyDescent="0.25">
      <c r="A55" s="55">
        <v>2.6</v>
      </c>
      <c r="B55" s="56">
        <v>542669</v>
      </c>
      <c r="C55" s="56">
        <v>32767</v>
      </c>
      <c r="D55" s="56">
        <v>1894802153</v>
      </c>
      <c r="E55" s="69">
        <v>542669</v>
      </c>
      <c r="F55" s="56" t="s">
        <v>55</v>
      </c>
      <c r="G55" s="57">
        <v>40569.093819444446</v>
      </c>
      <c r="H55" s="56">
        <v>90</v>
      </c>
      <c r="I55" s="56" t="s">
        <v>62</v>
      </c>
      <c r="J55" s="56">
        <v>3</v>
      </c>
      <c r="K55" s="58">
        <v>40468</v>
      </c>
    </row>
    <row r="56" spans="1:11" x14ac:dyDescent="0.25">
      <c r="A56" s="51">
        <v>2.6</v>
      </c>
      <c r="B56" s="52">
        <v>279093</v>
      </c>
      <c r="C56" s="52">
        <v>32767</v>
      </c>
      <c r="D56" s="52">
        <v>1895919277</v>
      </c>
      <c r="E56" s="68">
        <v>279093</v>
      </c>
      <c r="F56" s="52" t="s">
        <v>55</v>
      </c>
      <c r="G56" s="53">
        <v>40569.959178240744</v>
      </c>
      <c r="H56" s="52">
        <v>30</v>
      </c>
      <c r="I56" s="52" t="s">
        <v>62</v>
      </c>
      <c r="J56" s="52">
        <v>3</v>
      </c>
      <c r="K56" s="54">
        <v>40466</v>
      </c>
    </row>
    <row r="57" spans="1:11" x14ac:dyDescent="0.25">
      <c r="A57" s="55">
        <v>2.65</v>
      </c>
      <c r="B57" s="56">
        <v>100000000</v>
      </c>
      <c r="C57" s="56">
        <v>32767</v>
      </c>
      <c r="D57" s="56">
        <v>1633078042</v>
      </c>
      <c r="E57" s="69">
        <v>100000000</v>
      </c>
      <c r="F57" s="56" t="s">
        <v>55</v>
      </c>
      <c r="G57" s="57">
        <v>40539.362893518519</v>
      </c>
      <c r="H57" s="56">
        <v>90</v>
      </c>
      <c r="I57" s="56" t="s">
        <v>68</v>
      </c>
      <c r="J57" s="56">
        <v>4</v>
      </c>
      <c r="K57" s="58">
        <v>40464</v>
      </c>
    </row>
    <row r="58" spans="1:11" x14ac:dyDescent="0.25">
      <c r="A58" s="51">
        <v>2.65</v>
      </c>
      <c r="B58" s="52">
        <v>83667</v>
      </c>
      <c r="C58" s="52">
        <v>32767</v>
      </c>
      <c r="D58" s="52">
        <v>1879539447</v>
      </c>
      <c r="E58" s="68">
        <v>200000</v>
      </c>
      <c r="F58" s="52" t="s">
        <v>55</v>
      </c>
      <c r="G58" s="53">
        <v>40557.330625000002</v>
      </c>
      <c r="H58" s="52">
        <v>14</v>
      </c>
      <c r="I58" s="52" t="s">
        <v>57</v>
      </c>
      <c r="J58" s="52">
        <v>7</v>
      </c>
      <c r="K58" s="54">
        <v>40462</v>
      </c>
    </row>
    <row r="59" spans="1:11" x14ac:dyDescent="0.25">
      <c r="A59" s="55">
        <v>2.65</v>
      </c>
      <c r="B59" s="56">
        <v>931780</v>
      </c>
      <c r="C59" s="56">
        <v>32767</v>
      </c>
      <c r="D59" s="56">
        <v>1890148870</v>
      </c>
      <c r="E59" s="69">
        <v>2314780</v>
      </c>
      <c r="F59" s="56" t="s">
        <v>55</v>
      </c>
      <c r="G59" s="57">
        <v>40565.937314814815</v>
      </c>
      <c r="H59" s="56">
        <v>90</v>
      </c>
      <c r="I59" s="56" t="s">
        <v>64</v>
      </c>
      <c r="J59" s="56">
        <v>2</v>
      </c>
      <c r="K59" s="58">
        <v>40460</v>
      </c>
    </row>
    <row r="60" spans="1:11" x14ac:dyDescent="0.25">
      <c r="A60" s="51">
        <v>2.75</v>
      </c>
      <c r="B60" s="52">
        <v>20000000</v>
      </c>
      <c r="C60" s="52">
        <v>32767</v>
      </c>
      <c r="D60" s="52">
        <v>1790167773</v>
      </c>
      <c r="E60" s="68">
        <v>20000000</v>
      </c>
      <c r="F60" s="52" t="s">
        <v>55</v>
      </c>
      <c r="G60" s="53">
        <v>40482.279270833336</v>
      </c>
      <c r="H60" s="52">
        <v>90</v>
      </c>
      <c r="I60" s="52" t="s">
        <v>66</v>
      </c>
      <c r="J60" s="52">
        <v>7</v>
      </c>
      <c r="K60" s="54">
        <v>40458</v>
      </c>
    </row>
    <row r="61" spans="1:11" x14ac:dyDescent="0.25">
      <c r="A61" s="55">
        <v>2.75</v>
      </c>
      <c r="B61" s="56">
        <v>18537</v>
      </c>
      <c r="C61" s="56">
        <v>32767</v>
      </c>
      <c r="D61" s="56">
        <v>1824557028</v>
      </c>
      <c r="E61" s="69">
        <v>22005</v>
      </c>
      <c r="F61" s="56" t="s">
        <v>55</v>
      </c>
      <c r="G61" s="57">
        <v>40513.93414351852</v>
      </c>
      <c r="H61" s="56">
        <v>90</v>
      </c>
      <c r="I61" s="56" t="s">
        <v>61</v>
      </c>
      <c r="J61" s="56">
        <v>3</v>
      </c>
      <c r="K61" s="58">
        <v>40456</v>
      </c>
    </row>
    <row r="62" spans="1:11" x14ac:dyDescent="0.25">
      <c r="A62" s="51">
        <v>2.75</v>
      </c>
      <c r="B62" s="52">
        <v>20000000</v>
      </c>
      <c r="C62" s="52">
        <v>32767</v>
      </c>
      <c r="D62" s="52">
        <v>1838369345</v>
      </c>
      <c r="E62" s="68">
        <v>20000000</v>
      </c>
      <c r="F62" s="52" t="s">
        <v>55</v>
      </c>
      <c r="G62" s="53">
        <v>40525.311481481483</v>
      </c>
      <c r="H62" s="52">
        <v>90</v>
      </c>
      <c r="I62" s="52" t="s">
        <v>67</v>
      </c>
      <c r="J62" s="52">
        <v>5</v>
      </c>
      <c r="K62" s="54">
        <v>40454</v>
      </c>
    </row>
    <row r="63" spans="1:11" x14ac:dyDescent="0.25">
      <c r="A63" s="55">
        <v>2.7799</v>
      </c>
      <c r="B63" s="56">
        <v>307383</v>
      </c>
      <c r="C63" s="56">
        <v>32767</v>
      </c>
      <c r="D63" s="56">
        <v>1807088435</v>
      </c>
      <c r="E63" s="69">
        <v>307383</v>
      </c>
      <c r="F63" s="56" t="s">
        <v>55</v>
      </c>
      <c r="G63" s="57">
        <v>40498.235543981478</v>
      </c>
      <c r="H63" s="56">
        <v>90</v>
      </c>
      <c r="I63" s="56" t="s">
        <v>68</v>
      </c>
      <c r="J63" s="56">
        <v>4</v>
      </c>
      <c r="K63" s="58">
        <v>40452</v>
      </c>
    </row>
    <row r="64" spans="1:11" x14ac:dyDescent="0.25">
      <c r="A64" s="51">
        <v>2.81</v>
      </c>
      <c r="B64" s="52">
        <v>85872</v>
      </c>
      <c r="C64" s="52">
        <v>32767</v>
      </c>
      <c r="D64" s="52">
        <v>1893180578</v>
      </c>
      <c r="E64" s="68">
        <v>85872</v>
      </c>
      <c r="F64" s="52" t="s">
        <v>55</v>
      </c>
      <c r="G64" s="53">
        <v>40567.917164351849</v>
      </c>
      <c r="H64" s="52">
        <v>90</v>
      </c>
      <c r="I64" s="52" t="s">
        <v>64</v>
      </c>
      <c r="J64" s="52">
        <v>2</v>
      </c>
      <c r="K64" s="54">
        <v>40450</v>
      </c>
    </row>
    <row r="65" spans="1:11" x14ac:dyDescent="0.25">
      <c r="A65" s="55">
        <v>2.85</v>
      </c>
      <c r="B65" s="56">
        <v>13965</v>
      </c>
      <c r="C65" s="56">
        <v>32767</v>
      </c>
      <c r="D65" s="56">
        <v>1873212440</v>
      </c>
      <c r="E65" s="69">
        <v>13965</v>
      </c>
      <c r="F65" s="56" t="s">
        <v>55</v>
      </c>
      <c r="G65" s="57">
        <v>40552.354675925926</v>
      </c>
      <c r="H65" s="56">
        <v>90</v>
      </c>
      <c r="I65" s="56" t="s">
        <v>65</v>
      </c>
      <c r="J65" s="56">
        <v>5</v>
      </c>
      <c r="K65" s="58">
        <v>40448</v>
      </c>
    </row>
    <row r="66" spans="1:11" x14ac:dyDescent="0.25">
      <c r="A66" s="51">
        <v>2.9</v>
      </c>
      <c r="B66" s="52">
        <v>22596</v>
      </c>
      <c r="C66" s="52">
        <v>32767</v>
      </c>
      <c r="D66" s="52">
        <v>1866004866</v>
      </c>
      <c r="E66" s="68">
        <v>29347</v>
      </c>
      <c r="F66" s="52" t="s">
        <v>55</v>
      </c>
      <c r="G66" s="53">
        <v>40546.915162037039</v>
      </c>
      <c r="H66" s="52">
        <v>90</v>
      </c>
      <c r="I66" s="52" t="s">
        <v>60</v>
      </c>
      <c r="J66" s="52">
        <v>6</v>
      </c>
      <c r="K66" s="54">
        <v>40446</v>
      </c>
    </row>
    <row r="67" spans="1:11" x14ac:dyDescent="0.25">
      <c r="A67" s="55">
        <v>2.95</v>
      </c>
      <c r="B67" s="56">
        <v>390000</v>
      </c>
      <c r="C67" s="56">
        <v>32767</v>
      </c>
      <c r="D67" s="56">
        <v>1860621705</v>
      </c>
      <c r="E67" s="69">
        <v>390000</v>
      </c>
      <c r="F67" s="56" t="s">
        <v>55</v>
      </c>
      <c r="G67" s="57">
        <v>40542.852488425924</v>
      </c>
      <c r="H67" s="56">
        <v>90</v>
      </c>
      <c r="I67" s="56" t="s">
        <v>61</v>
      </c>
      <c r="J67" s="56">
        <v>3</v>
      </c>
      <c r="K67" s="58">
        <v>40444</v>
      </c>
    </row>
    <row r="68" spans="1:11" x14ac:dyDescent="0.25">
      <c r="A68" s="51">
        <v>2.95</v>
      </c>
      <c r="B68" s="52">
        <v>280863</v>
      </c>
      <c r="C68" s="52">
        <v>32767</v>
      </c>
      <c r="D68" s="52">
        <v>1878334642</v>
      </c>
      <c r="E68" s="68">
        <v>371831</v>
      </c>
      <c r="F68" s="52" t="s">
        <v>55</v>
      </c>
      <c r="G68" s="53">
        <v>40556.311122685183</v>
      </c>
      <c r="H68" s="52">
        <v>90</v>
      </c>
      <c r="I68" s="52" t="s">
        <v>66</v>
      </c>
      <c r="J68" s="52">
        <v>5</v>
      </c>
      <c r="K68" s="54">
        <v>40442</v>
      </c>
    </row>
    <row r="69" spans="1:11" x14ac:dyDescent="0.25">
      <c r="A69" s="55">
        <v>2.96</v>
      </c>
      <c r="B69" s="56">
        <v>1129783</v>
      </c>
      <c r="C69" s="56">
        <v>32767</v>
      </c>
      <c r="D69" s="56">
        <v>1853601224</v>
      </c>
      <c r="E69" s="69">
        <v>5000000</v>
      </c>
      <c r="F69" s="56" t="s">
        <v>55</v>
      </c>
      <c r="G69" s="57">
        <v>40537.317291666666</v>
      </c>
      <c r="H69" s="56">
        <v>90</v>
      </c>
      <c r="I69" s="56" t="s">
        <v>57</v>
      </c>
      <c r="J69" s="56">
        <v>7</v>
      </c>
      <c r="K69" s="58">
        <v>40440</v>
      </c>
    </row>
    <row r="70" spans="1:11" x14ac:dyDescent="0.25">
      <c r="A70" s="51">
        <v>2.99</v>
      </c>
      <c r="B70" s="52">
        <v>18650</v>
      </c>
      <c r="C70" s="52">
        <v>32767</v>
      </c>
      <c r="D70" s="52">
        <v>1886842441</v>
      </c>
      <c r="E70" s="68">
        <v>18650</v>
      </c>
      <c r="F70" s="52" t="s">
        <v>55</v>
      </c>
      <c r="G70" s="53">
        <v>40563.557974537034</v>
      </c>
      <c r="H70" s="52">
        <v>14</v>
      </c>
      <c r="I70" s="52" t="s">
        <v>67</v>
      </c>
      <c r="J70" s="52">
        <v>6</v>
      </c>
      <c r="K70" s="54">
        <v>40438</v>
      </c>
    </row>
    <row r="71" spans="1:11" x14ac:dyDescent="0.25">
      <c r="A71" s="55">
        <v>3</v>
      </c>
      <c r="B71" s="56">
        <v>30000000</v>
      </c>
      <c r="C71" s="56">
        <v>32767</v>
      </c>
      <c r="D71" s="56">
        <v>1790167645</v>
      </c>
      <c r="E71" s="69">
        <v>30000000</v>
      </c>
      <c r="F71" s="56" t="s">
        <v>55</v>
      </c>
      <c r="G71" s="57">
        <v>40482.279108796298</v>
      </c>
      <c r="H71" s="56">
        <v>90</v>
      </c>
      <c r="I71" s="56" t="s">
        <v>66</v>
      </c>
      <c r="J71" s="56">
        <v>7</v>
      </c>
      <c r="K71" s="58">
        <v>40436</v>
      </c>
    </row>
    <row r="72" spans="1:11" x14ac:dyDescent="0.25">
      <c r="A72" s="51">
        <v>3</v>
      </c>
      <c r="B72" s="52">
        <v>212151</v>
      </c>
      <c r="C72" s="52">
        <v>32767</v>
      </c>
      <c r="D72" s="52">
        <v>1790285988</v>
      </c>
      <c r="E72" s="68">
        <v>212153</v>
      </c>
      <c r="F72" s="52" t="s">
        <v>55</v>
      </c>
      <c r="G72" s="53">
        <v>40482.405405092592</v>
      </c>
      <c r="H72" s="52">
        <v>90</v>
      </c>
      <c r="I72" s="52" t="s">
        <v>65</v>
      </c>
      <c r="J72" s="52">
        <v>5</v>
      </c>
      <c r="K72" s="54">
        <v>40434</v>
      </c>
    </row>
    <row r="73" spans="1:11" x14ac:dyDescent="0.25">
      <c r="A73" s="55">
        <v>3</v>
      </c>
      <c r="B73" s="56">
        <v>2077261</v>
      </c>
      <c r="C73" s="56">
        <v>32767</v>
      </c>
      <c r="D73" s="56">
        <v>1790286539</v>
      </c>
      <c r="E73" s="69">
        <v>2082662</v>
      </c>
      <c r="F73" s="56" t="s">
        <v>55</v>
      </c>
      <c r="G73" s="57">
        <v>40482.405949074076</v>
      </c>
      <c r="H73" s="56">
        <v>90</v>
      </c>
      <c r="I73" s="56" t="s">
        <v>68</v>
      </c>
      <c r="J73" s="56">
        <v>6</v>
      </c>
      <c r="K73" s="58">
        <v>40432</v>
      </c>
    </row>
    <row r="74" spans="1:11" x14ac:dyDescent="0.25">
      <c r="A74" s="51">
        <v>3</v>
      </c>
      <c r="B74" s="52">
        <v>48344</v>
      </c>
      <c r="C74" s="52">
        <v>32767</v>
      </c>
      <c r="D74" s="52">
        <v>1800866530</v>
      </c>
      <c r="E74" s="68">
        <v>48679</v>
      </c>
      <c r="F74" s="52" t="s">
        <v>55</v>
      </c>
      <c r="G74" s="53">
        <v>40492.698680555557</v>
      </c>
      <c r="H74" s="52">
        <v>90</v>
      </c>
      <c r="I74" s="52" t="s">
        <v>69</v>
      </c>
      <c r="J74" s="52">
        <v>6</v>
      </c>
      <c r="K74" s="54">
        <v>40430</v>
      </c>
    </row>
    <row r="75" spans="1:11" x14ac:dyDescent="0.25">
      <c r="A75" s="55">
        <v>3</v>
      </c>
      <c r="B75" s="56">
        <v>6171154</v>
      </c>
      <c r="C75" s="56">
        <v>32767</v>
      </c>
      <c r="D75" s="56">
        <v>1803747985</v>
      </c>
      <c r="E75" s="69">
        <v>6171154</v>
      </c>
      <c r="F75" s="56" t="s">
        <v>55</v>
      </c>
      <c r="G75" s="57">
        <v>40495.44903935185</v>
      </c>
      <c r="H75" s="56">
        <v>90</v>
      </c>
      <c r="I75" s="56" t="s">
        <v>65</v>
      </c>
      <c r="J75" s="56">
        <v>5</v>
      </c>
      <c r="K75" s="58">
        <v>40428</v>
      </c>
    </row>
    <row r="76" spans="1:11" x14ac:dyDescent="0.25">
      <c r="A76" s="51">
        <v>3</v>
      </c>
      <c r="B76" s="52">
        <v>125083</v>
      </c>
      <c r="C76" s="52">
        <v>32767</v>
      </c>
      <c r="D76" s="52">
        <v>1803748164</v>
      </c>
      <c r="E76" s="68">
        <v>125090</v>
      </c>
      <c r="F76" s="52" t="s">
        <v>55</v>
      </c>
      <c r="G76" s="53">
        <v>40495.449189814812</v>
      </c>
      <c r="H76" s="52">
        <v>90</v>
      </c>
      <c r="I76" s="52" t="s">
        <v>65</v>
      </c>
      <c r="J76" s="52">
        <v>5</v>
      </c>
      <c r="K76" s="54">
        <v>40426</v>
      </c>
    </row>
    <row r="77" spans="1:11" x14ac:dyDescent="0.25">
      <c r="A77" s="55">
        <v>3</v>
      </c>
      <c r="B77" s="56">
        <v>30000000</v>
      </c>
      <c r="C77" s="56">
        <v>32767</v>
      </c>
      <c r="D77" s="56">
        <v>1832583042</v>
      </c>
      <c r="E77" s="69">
        <v>30000000</v>
      </c>
      <c r="F77" s="56" t="s">
        <v>55</v>
      </c>
      <c r="G77" s="57">
        <v>40520.337199074071</v>
      </c>
      <c r="H77" s="56">
        <v>90</v>
      </c>
      <c r="I77" s="56" t="s">
        <v>67</v>
      </c>
      <c r="J77" s="56">
        <v>5</v>
      </c>
      <c r="K77" s="58">
        <v>40424</v>
      </c>
    </row>
    <row r="78" spans="1:11" x14ac:dyDescent="0.25">
      <c r="A78" s="51">
        <v>3</v>
      </c>
      <c r="B78" s="52">
        <v>58774430</v>
      </c>
      <c r="C78" s="52">
        <v>32767</v>
      </c>
      <c r="D78" s="52">
        <v>1832992193</v>
      </c>
      <c r="E78" s="68">
        <v>58774430</v>
      </c>
      <c r="F78" s="52" t="s">
        <v>55</v>
      </c>
      <c r="G78" s="53">
        <v>40520.770787037036</v>
      </c>
      <c r="H78" s="52">
        <v>90</v>
      </c>
      <c r="I78" s="52" t="s">
        <v>67</v>
      </c>
      <c r="J78" s="52">
        <v>5</v>
      </c>
      <c r="K78" s="54">
        <v>40422</v>
      </c>
    </row>
    <row r="79" spans="1:11" x14ac:dyDescent="0.25">
      <c r="A79" s="55">
        <v>3</v>
      </c>
      <c r="B79" s="56">
        <v>165134</v>
      </c>
      <c r="C79" s="56">
        <v>32767</v>
      </c>
      <c r="D79" s="56">
        <v>1839473577</v>
      </c>
      <c r="E79" s="69">
        <v>165134</v>
      </c>
      <c r="F79" s="56" t="s">
        <v>55</v>
      </c>
      <c r="G79" s="57">
        <v>40526.331550925926</v>
      </c>
      <c r="H79" s="56">
        <v>90</v>
      </c>
      <c r="I79" s="56" t="s">
        <v>57</v>
      </c>
      <c r="J79" s="56">
        <v>7</v>
      </c>
      <c r="K79" s="58">
        <v>40420</v>
      </c>
    </row>
    <row r="80" spans="1:11" x14ac:dyDescent="0.25">
      <c r="A80" s="51">
        <v>3</v>
      </c>
      <c r="B80" s="52">
        <v>20000000</v>
      </c>
      <c r="C80" s="52">
        <v>32767</v>
      </c>
      <c r="D80" s="52">
        <v>1861789696</v>
      </c>
      <c r="E80" s="68">
        <v>36000000</v>
      </c>
      <c r="F80" s="52" t="s">
        <v>55</v>
      </c>
      <c r="G80" s="53">
        <v>40543.78665509259</v>
      </c>
      <c r="H80" s="52">
        <v>90</v>
      </c>
      <c r="I80" s="52" t="s">
        <v>57</v>
      </c>
      <c r="J80" s="52">
        <v>1</v>
      </c>
      <c r="K80" s="54">
        <v>40418</v>
      </c>
    </row>
    <row r="81" spans="1:11" x14ac:dyDescent="0.25">
      <c r="A81" s="55">
        <v>3</v>
      </c>
      <c r="B81" s="56">
        <v>35989000</v>
      </c>
      <c r="C81" s="56">
        <v>32767</v>
      </c>
      <c r="D81" s="56">
        <v>1861792001</v>
      </c>
      <c r="E81" s="69">
        <v>36000000</v>
      </c>
      <c r="F81" s="56" t="s">
        <v>55</v>
      </c>
      <c r="G81" s="57">
        <v>40543.788460648146</v>
      </c>
      <c r="H81" s="56">
        <v>90</v>
      </c>
      <c r="I81" s="56" t="s">
        <v>57</v>
      </c>
      <c r="J81" s="56">
        <v>1</v>
      </c>
      <c r="K81" s="58">
        <v>40416</v>
      </c>
    </row>
    <row r="82" spans="1:11" x14ac:dyDescent="0.25">
      <c r="A82" s="51">
        <v>3</v>
      </c>
      <c r="B82" s="52">
        <v>86634</v>
      </c>
      <c r="C82" s="52">
        <v>32767</v>
      </c>
      <c r="D82" s="52">
        <v>1879935016</v>
      </c>
      <c r="E82" s="68">
        <v>86634</v>
      </c>
      <c r="F82" s="52" t="s">
        <v>55</v>
      </c>
      <c r="G82" s="53">
        <v>40557.869826388887</v>
      </c>
      <c r="H82" s="52">
        <v>90</v>
      </c>
      <c r="I82" s="52" t="s">
        <v>61</v>
      </c>
      <c r="J82" s="52">
        <v>3</v>
      </c>
      <c r="K82" s="54">
        <v>40414</v>
      </c>
    </row>
    <row r="83" spans="1:11" x14ac:dyDescent="0.25">
      <c r="A83" s="55">
        <v>3</v>
      </c>
      <c r="B83" s="56">
        <v>14531</v>
      </c>
      <c r="C83" s="56">
        <v>32767</v>
      </c>
      <c r="D83" s="56">
        <v>1886544163</v>
      </c>
      <c r="E83" s="69">
        <v>14531</v>
      </c>
      <c r="F83" s="56" t="s">
        <v>55</v>
      </c>
      <c r="G83" s="57">
        <v>40563.126770833333</v>
      </c>
      <c r="H83" s="56">
        <v>14</v>
      </c>
      <c r="I83" s="56" t="s">
        <v>63</v>
      </c>
      <c r="J83" s="56">
        <v>2</v>
      </c>
      <c r="K83" s="58">
        <v>40412</v>
      </c>
    </row>
    <row r="84" spans="1:11" x14ac:dyDescent="0.25">
      <c r="A84" s="51">
        <v>3</v>
      </c>
      <c r="B84" s="52">
        <v>3</v>
      </c>
      <c r="C84" s="52">
        <v>32767</v>
      </c>
      <c r="D84" s="52">
        <v>1897061703</v>
      </c>
      <c r="E84" s="68">
        <v>3</v>
      </c>
      <c r="F84" s="52" t="s">
        <v>55</v>
      </c>
      <c r="G84" s="53">
        <v>40570.935185185182</v>
      </c>
      <c r="H84" s="52">
        <v>1</v>
      </c>
      <c r="I84" s="52" t="s">
        <v>61</v>
      </c>
      <c r="J84" s="52">
        <v>3</v>
      </c>
      <c r="K84" s="54">
        <v>40410</v>
      </c>
    </row>
    <row r="85" spans="1:11" x14ac:dyDescent="0.25">
      <c r="A85" s="55">
        <v>3.1</v>
      </c>
      <c r="B85" s="56">
        <v>19993</v>
      </c>
      <c r="C85" s="56">
        <v>32767</v>
      </c>
      <c r="D85" s="56">
        <v>1886763806</v>
      </c>
      <c r="E85" s="69">
        <v>19993</v>
      </c>
      <c r="F85" s="56" t="s">
        <v>55</v>
      </c>
      <c r="G85" s="57">
        <v>40563.342175925929</v>
      </c>
      <c r="H85" s="56">
        <v>90</v>
      </c>
      <c r="I85" s="56" t="s">
        <v>57</v>
      </c>
      <c r="J85" s="56">
        <v>7</v>
      </c>
      <c r="K85" s="58">
        <v>40408</v>
      </c>
    </row>
    <row r="86" spans="1:11" x14ac:dyDescent="0.25">
      <c r="A86" s="51">
        <v>3.15</v>
      </c>
      <c r="B86" s="52">
        <v>441661</v>
      </c>
      <c r="C86" s="52">
        <v>32767</v>
      </c>
      <c r="D86" s="52">
        <v>1895973957</v>
      </c>
      <c r="E86" s="68">
        <v>461661</v>
      </c>
      <c r="F86" s="52" t="s">
        <v>55</v>
      </c>
      <c r="G86" s="53">
        <v>40569.991400462961</v>
      </c>
      <c r="H86" s="52">
        <v>1</v>
      </c>
      <c r="I86" s="52" t="s">
        <v>63</v>
      </c>
      <c r="J86" s="52">
        <v>4</v>
      </c>
      <c r="K86" s="54">
        <v>40406</v>
      </c>
    </row>
    <row r="87" spans="1:11" x14ac:dyDescent="0.25">
      <c r="A87" s="55">
        <v>3.3</v>
      </c>
      <c r="B87" s="56">
        <v>30974592</v>
      </c>
      <c r="C87" s="56">
        <v>32767</v>
      </c>
      <c r="D87" s="56">
        <v>1833358164</v>
      </c>
      <c r="E87" s="69">
        <v>30974592</v>
      </c>
      <c r="F87" s="56" t="s">
        <v>55</v>
      </c>
      <c r="G87" s="57">
        <v>40521.016076388885</v>
      </c>
      <c r="H87" s="56">
        <v>90</v>
      </c>
      <c r="I87" s="56" t="s">
        <v>68</v>
      </c>
      <c r="J87" s="56">
        <v>4</v>
      </c>
      <c r="K87" s="58">
        <v>40404</v>
      </c>
    </row>
    <row r="88" spans="1:11" x14ac:dyDescent="0.25">
      <c r="A88" s="51">
        <v>4</v>
      </c>
      <c r="B88" s="52">
        <v>21250</v>
      </c>
      <c r="C88" s="52">
        <v>32767</v>
      </c>
      <c r="D88" s="52">
        <v>1896951342</v>
      </c>
      <c r="E88" s="68">
        <v>21250</v>
      </c>
      <c r="F88" s="52" t="s">
        <v>55</v>
      </c>
      <c r="G88" s="53">
        <v>40570.875671296293</v>
      </c>
      <c r="H88" s="52">
        <v>1</v>
      </c>
      <c r="I88" s="52" t="s">
        <v>57</v>
      </c>
      <c r="J88" s="52">
        <v>7</v>
      </c>
      <c r="K88" s="54">
        <v>40402</v>
      </c>
    </row>
    <row r="89" spans="1:11" x14ac:dyDescent="0.25">
      <c r="A89" s="55">
        <v>4.0999999999999996</v>
      </c>
      <c r="B89" s="56">
        <v>27756</v>
      </c>
      <c r="C89" s="56">
        <v>32767</v>
      </c>
      <c r="D89" s="56">
        <v>1888516692</v>
      </c>
      <c r="E89" s="69">
        <v>27756</v>
      </c>
      <c r="F89" s="56" t="s">
        <v>55</v>
      </c>
      <c r="G89" s="57">
        <v>40564.895138888889</v>
      </c>
      <c r="H89" s="56">
        <v>90</v>
      </c>
      <c r="I89" s="56" t="s">
        <v>57</v>
      </c>
      <c r="J89" s="56">
        <v>7</v>
      </c>
      <c r="K89" s="58">
        <v>40400</v>
      </c>
    </row>
    <row r="90" spans="1:11" x14ac:dyDescent="0.25">
      <c r="A90" s="51">
        <v>4.2</v>
      </c>
      <c r="B90" s="52">
        <v>2554</v>
      </c>
      <c r="C90" s="52">
        <v>32767</v>
      </c>
      <c r="D90" s="52">
        <v>1878829720</v>
      </c>
      <c r="E90" s="68">
        <v>2554</v>
      </c>
      <c r="F90" s="52" t="s">
        <v>55</v>
      </c>
      <c r="G90" s="53">
        <v>40556.789953703701</v>
      </c>
      <c r="H90" s="52">
        <v>14</v>
      </c>
      <c r="I90" s="52" t="s">
        <v>57</v>
      </c>
      <c r="J90" s="52">
        <v>7</v>
      </c>
      <c r="K90" s="54">
        <v>40398</v>
      </c>
    </row>
    <row r="91" spans="1:11" x14ac:dyDescent="0.25">
      <c r="A91" s="55">
        <v>4.33</v>
      </c>
      <c r="B91" s="56">
        <v>58925705</v>
      </c>
      <c r="C91" s="56">
        <v>32767</v>
      </c>
      <c r="D91" s="56">
        <v>1894062078</v>
      </c>
      <c r="E91" s="69">
        <v>58951923</v>
      </c>
      <c r="F91" s="56" t="s">
        <v>55</v>
      </c>
      <c r="G91" s="57">
        <v>40568.66201388889</v>
      </c>
      <c r="H91" s="56">
        <v>90</v>
      </c>
      <c r="I91" s="56" t="s">
        <v>68</v>
      </c>
      <c r="J91" s="56">
        <v>4</v>
      </c>
      <c r="K91" s="58">
        <v>40396</v>
      </c>
    </row>
    <row r="92" spans="1:11" x14ac:dyDescent="0.25">
      <c r="A92" s="51">
        <v>4.4000000000000004</v>
      </c>
      <c r="B92" s="52">
        <v>1080</v>
      </c>
      <c r="C92" s="52">
        <v>32767</v>
      </c>
      <c r="D92" s="52">
        <v>1892675365</v>
      </c>
      <c r="E92" s="68">
        <v>1080</v>
      </c>
      <c r="F92" s="52" t="s">
        <v>55</v>
      </c>
      <c r="G92" s="53">
        <v>40567.645150462966</v>
      </c>
      <c r="H92" s="52">
        <v>14</v>
      </c>
      <c r="I92" s="52" t="s">
        <v>57</v>
      </c>
      <c r="J92" s="52">
        <v>7</v>
      </c>
      <c r="K92" s="54">
        <v>40394</v>
      </c>
    </row>
    <row r="93" spans="1:11" x14ac:dyDescent="0.25">
      <c r="A93" s="55">
        <v>4.99</v>
      </c>
      <c r="B93" s="56">
        <v>100000</v>
      </c>
      <c r="C93" s="56">
        <v>32767</v>
      </c>
      <c r="D93" s="56">
        <v>1894779613</v>
      </c>
      <c r="E93" s="69">
        <v>100000</v>
      </c>
      <c r="F93" s="56" t="s">
        <v>55</v>
      </c>
      <c r="G93" s="57">
        <v>40569.075949074075</v>
      </c>
      <c r="H93" s="56">
        <v>7</v>
      </c>
      <c r="I93" s="56" t="s">
        <v>57</v>
      </c>
      <c r="J93" s="56">
        <v>7</v>
      </c>
      <c r="K93" s="58">
        <v>40392</v>
      </c>
    </row>
    <row r="94" spans="1:11" x14ac:dyDescent="0.25">
      <c r="A94" s="51">
        <v>5</v>
      </c>
      <c r="B94" s="52">
        <v>10753130</v>
      </c>
      <c r="C94" s="52">
        <v>32767</v>
      </c>
      <c r="D94" s="52">
        <v>1890887476</v>
      </c>
      <c r="E94" s="68">
        <v>10753130</v>
      </c>
      <c r="F94" s="52" t="s">
        <v>55</v>
      </c>
      <c r="G94" s="53">
        <v>40566.447893518518</v>
      </c>
      <c r="H94" s="52">
        <v>7</v>
      </c>
      <c r="I94" s="52" t="s">
        <v>68</v>
      </c>
      <c r="J94" s="52">
        <v>4</v>
      </c>
      <c r="K94" s="54">
        <v>40390</v>
      </c>
    </row>
    <row r="95" spans="1:11" x14ac:dyDescent="0.25">
      <c r="A95" s="55">
        <v>8.99</v>
      </c>
      <c r="B95" s="56">
        <v>63045</v>
      </c>
      <c r="C95" s="56">
        <v>32767</v>
      </c>
      <c r="D95" s="56">
        <v>1893435579</v>
      </c>
      <c r="E95" s="69">
        <v>63045</v>
      </c>
      <c r="F95" s="56" t="s">
        <v>55</v>
      </c>
      <c r="G95" s="57">
        <v>40568.072141203702</v>
      </c>
      <c r="H95" s="56">
        <v>14</v>
      </c>
      <c r="I95" s="56" t="s">
        <v>57</v>
      </c>
      <c r="J95" s="56">
        <v>7</v>
      </c>
      <c r="K95" s="58">
        <v>40388</v>
      </c>
    </row>
    <row r="96" spans="1:11" x14ac:dyDescent="0.25">
      <c r="A96" s="51">
        <v>9.31</v>
      </c>
      <c r="B96" s="52">
        <v>2078</v>
      </c>
      <c r="C96" s="52">
        <v>32767</v>
      </c>
      <c r="D96" s="52">
        <v>1895510286</v>
      </c>
      <c r="E96" s="68">
        <v>2078</v>
      </c>
      <c r="F96" s="52" t="s">
        <v>55</v>
      </c>
      <c r="G96" s="53">
        <v>40569.744375000002</v>
      </c>
      <c r="H96" s="52">
        <v>1</v>
      </c>
      <c r="I96" s="52" t="s">
        <v>63</v>
      </c>
      <c r="J96" s="52">
        <v>2</v>
      </c>
      <c r="K96" s="54">
        <v>40386</v>
      </c>
    </row>
    <row r="97" spans="1:11" x14ac:dyDescent="0.25">
      <c r="A97" s="55">
        <v>11.89</v>
      </c>
      <c r="B97" s="56">
        <v>761997</v>
      </c>
      <c r="C97" s="56">
        <v>32767</v>
      </c>
      <c r="D97" s="56">
        <v>1801027589</v>
      </c>
      <c r="E97" s="69">
        <v>1000000</v>
      </c>
      <c r="F97" s="56" t="s">
        <v>55</v>
      </c>
      <c r="G97" s="57">
        <v>40492.820937500001</v>
      </c>
      <c r="H97" s="56">
        <v>90</v>
      </c>
      <c r="I97" s="56" t="s">
        <v>58</v>
      </c>
      <c r="J97" s="56">
        <v>7</v>
      </c>
      <c r="K97" s="58">
        <v>40384</v>
      </c>
    </row>
    <row r="98" spans="1:11" x14ac:dyDescent="0.25">
      <c r="A98" s="51">
        <v>55</v>
      </c>
      <c r="B98" s="52">
        <v>56563</v>
      </c>
      <c r="C98" s="52">
        <v>32767</v>
      </c>
      <c r="D98" s="52">
        <v>1830468971</v>
      </c>
      <c r="E98" s="68">
        <v>56563</v>
      </c>
      <c r="F98" s="52" t="s">
        <v>55</v>
      </c>
      <c r="G98" s="53">
        <v>40518.514467592591</v>
      </c>
      <c r="H98" s="52">
        <v>90</v>
      </c>
      <c r="I98" s="52" t="s">
        <v>61</v>
      </c>
      <c r="J98" s="52">
        <v>3</v>
      </c>
      <c r="K98" s="54">
        <v>40382</v>
      </c>
    </row>
    <row r="99" spans="1:11" x14ac:dyDescent="0.25">
      <c r="A99" s="55">
        <v>220</v>
      </c>
      <c r="B99" s="56">
        <v>2497</v>
      </c>
      <c r="C99" s="56">
        <v>32767</v>
      </c>
      <c r="D99" s="56">
        <v>1896746089</v>
      </c>
      <c r="E99" s="69">
        <v>2497</v>
      </c>
      <c r="F99" s="56" t="s">
        <v>55</v>
      </c>
      <c r="G99" s="57">
        <v>40570.764490740738</v>
      </c>
      <c r="H99" s="56">
        <v>1</v>
      </c>
      <c r="I99" s="56" t="s">
        <v>57</v>
      </c>
      <c r="J99" s="56">
        <v>7</v>
      </c>
      <c r="K99" s="58">
        <v>40380</v>
      </c>
    </row>
    <row r="100" spans="1:11" x14ac:dyDescent="0.25">
      <c r="A100" s="51">
        <v>2.5</v>
      </c>
      <c r="B100" s="52">
        <v>155663566</v>
      </c>
      <c r="C100" s="52">
        <v>-1</v>
      </c>
      <c r="D100" s="52">
        <v>1878511634</v>
      </c>
      <c r="E100" s="68">
        <v>200000000</v>
      </c>
      <c r="F100" s="52" t="s">
        <v>56</v>
      </c>
      <c r="G100" s="53">
        <v>40568.847418981481</v>
      </c>
      <c r="H100" s="52">
        <v>90</v>
      </c>
      <c r="I100" s="52" t="s">
        <v>59</v>
      </c>
      <c r="J100" s="52">
        <v>8</v>
      </c>
      <c r="K100" s="54">
        <v>40378</v>
      </c>
    </row>
    <row r="101" spans="1:11" x14ac:dyDescent="0.25">
      <c r="A101" s="55">
        <v>2.5</v>
      </c>
      <c r="B101" s="56">
        <v>19999999</v>
      </c>
      <c r="C101" s="56">
        <v>-1</v>
      </c>
      <c r="D101" s="56">
        <v>1897172325</v>
      </c>
      <c r="E101" s="69">
        <v>19999999</v>
      </c>
      <c r="F101" s="56" t="s">
        <v>56</v>
      </c>
      <c r="G101" s="57">
        <v>40571.000555555554</v>
      </c>
      <c r="H101" s="56">
        <v>90</v>
      </c>
      <c r="I101" s="56" t="s">
        <v>60</v>
      </c>
      <c r="J101" s="56">
        <v>6</v>
      </c>
      <c r="K101" s="58">
        <v>40376</v>
      </c>
    </row>
    <row r="102" spans="1:11" x14ac:dyDescent="0.25">
      <c r="A102" s="51">
        <v>2.5</v>
      </c>
      <c r="B102" s="52">
        <v>4000000</v>
      </c>
      <c r="C102" s="52">
        <v>-1</v>
      </c>
      <c r="D102" s="52">
        <v>1897191827</v>
      </c>
      <c r="E102" s="68">
        <v>4000000</v>
      </c>
      <c r="F102" s="52" t="s">
        <v>56</v>
      </c>
      <c r="G102" s="53">
        <v>40571.013206018521</v>
      </c>
      <c r="H102" s="52">
        <v>7</v>
      </c>
      <c r="I102" s="52" t="s">
        <v>61</v>
      </c>
      <c r="J102" s="52">
        <v>6</v>
      </c>
      <c r="K102" s="54">
        <v>40374</v>
      </c>
    </row>
    <row r="103" spans="1:11" x14ac:dyDescent="0.25">
      <c r="A103" s="55">
        <v>2.42</v>
      </c>
      <c r="B103" s="56">
        <v>42763898</v>
      </c>
      <c r="C103" s="56">
        <v>-1</v>
      </c>
      <c r="D103" s="56">
        <v>1897027219</v>
      </c>
      <c r="E103" s="69">
        <v>87000000</v>
      </c>
      <c r="F103" s="56" t="s">
        <v>56</v>
      </c>
      <c r="G103" s="57">
        <v>40570.916585648149</v>
      </c>
      <c r="H103" s="56">
        <v>90</v>
      </c>
      <c r="I103" s="56" t="s">
        <v>68</v>
      </c>
      <c r="J103" s="56">
        <v>4</v>
      </c>
      <c r="K103" s="58">
        <v>40372</v>
      </c>
    </row>
    <row r="104" spans="1:11" x14ac:dyDescent="0.25">
      <c r="A104" s="51">
        <v>2.42</v>
      </c>
      <c r="B104" s="52">
        <v>49788759</v>
      </c>
      <c r="C104" s="52">
        <v>-1</v>
      </c>
      <c r="D104" s="52">
        <v>1897162062</v>
      </c>
      <c r="E104" s="68">
        <v>50000000</v>
      </c>
      <c r="F104" s="52" t="s">
        <v>56</v>
      </c>
      <c r="G104" s="53">
        <v>40570.993263888886</v>
      </c>
      <c r="H104" s="52">
        <v>90</v>
      </c>
      <c r="I104" s="52" t="s">
        <v>60</v>
      </c>
      <c r="J104" s="52">
        <v>3</v>
      </c>
      <c r="K104" s="54">
        <v>40370</v>
      </c>
    </row>
    <row r="105" spans="1:11" x14ac:dyDescent="0.25">
      <c r="A105" s="55">
        <v>2.41</v>
      </c>
      <c r="B105" s="56">
        <v>88093827</v>
      </c>
      <c r="C105" s="56">
        <v>-1</v>
      </c>
      <c r="D105" s="56">
        <v>1896934983</v>
      </c>
      <c r="E105" s="69">
        <v>110000000</v>
      </c>
      <c r="F105" s="56" t="s">
        <v>56</v>
      </c>
      <c r="G105" s="57">
        <v>40570.8669212963</v>
      </c>
      <c r="H105" s="56">
        <v>90</v>
      </c>
      <c r="I105" s="56" t="s">
        <v>68</v>
      </c>
      <c r="J105" s="56">
        <v>4</v>
      </c>
      <c r="K105" s="58">
        <v>40368</v>
      </c>
    </row>
    <row r="106" spans="1:11" x14ac:dyDescent="0.25">
      <c r="A106" s="51">
        <v>2.4</v>
      </c>
      <c r="B106" s="52">
        <v>42827899</v>
      </c>
      <c r="C106" s="52">
        <v>-1</v>
      </c>
      <c r="D106" s="52">
        <v>1893967844</v>
      </c>
      <c r="E106" s="68">
        <v>100000000</v>
      </c>
      <c r="F106" s="52" t="s">
        <v>56</v>
      </c>
      <c r="G106" s="53">
        <v>40569.479039351849</v>
      </c>
      <c r="H106" s="52">
        <v>90</v>
      </c>
      <c r="I106" s="52" t="s">
        <v>68</v>
      </c>
      <c r="J106" s="52">
        <v>4</v>
      </c>
      <c r="K106" s="54">
        <v>40366</v>
      </c>
    </row>
    <row r="107" spans="1:11" x14ac:dyDescent="0.25">
      <c r="A107" s="55">
        <v>2.4</v>
      </c>
      <c r="B107" s="56">
        <v>82328327</v>
      </c>
      <c r="C107" s="56">
        <v>0</v>
      </c>
      <c r="D107" s="56">
        <v>1895724938</v>
      </c>
      <c r="E107" s="69">
        <v>100000000</v>
      </c>
      <c r="F107" s="56" t="s">
        <v>56</v>
      </c>
      <c r="G107" s="57">
        <v>40569.85837962963</v>
      </c>
      <c r="H107" s="56">
        <v>90</v>
      </c>
      <c r="I107" s="56" t="s">
        <v>68</v>
      </c>
      <c r="J107" s="56">
        <v>4</v>
      </c>
      <c r="K107" s="58">
        <v>40364</v>
      </c>
    </row>
    <row r="108" spans="1:11" x14ac:dyDescent="0.25">
      <c r="A108" s="51">
        <v>2.4</v>
      </c>
      <c r="B108" s="52">
        <v>10000000</v>
      </c>
      <c r="C108" s="52">
        <v>-1</v>
      </c>
      <c r="D108" s="52">
        <v>1896372948</v>
      </c>
      <c r="E108" s="68">
        <v>10000000</v>
      </c>
      <c r="F108" s="52" t="s">
        <v>56</v>
      </c>
      <c r="G108" s="53">
        <v>40570.334861111114</v>
      </c>
      <c r="H108" s="52">
        <v>90</v>
      </c>
      <c r="I108" s="52" t="s">
        <v>62</v>
      </c>
      <c r="J108" s="52">
        <v>7</v>
      </c>
      <c r="K108" s="54">
        <v>40362</v>
      </c>
    </row>
    <row r="109" spans="1:11" x14ac:dyDescent="0.25">
      <c r="A109" s="55">
        <v>2.4</v>
      </c>
      <c r="B109" s="56">
        <v>9785842</v>
      </c>
      <c r="C109" s="56">
        <v>-1</v>
      </c>
      <c r="D109" s="56">
        <v>1896872986</v>
      </c>
      <c r="E109" s="69">
        <v>10000000</v>
      </c>
      <c r="F109" s="56" t="s">
        <v>56</v>
      </c>
      <c r="G109" s="57">
        <v>40570.83425925926</v>
      </c>
      <c r="H109" s="56">
        <v>90</v>
      </c>
      <c r="I109" s="56" t="s">
        <v>63</v>
      </c>
      <c r="J109" s="56">
        <v>5</v>
      </c>
      <c r="K109" s="58">
        <v>40360</v>
      </c>
    </row>
    <row r="110" spans="1:11" x14ac:dyDescent="0.25">
      <c r="A110" s="51">
        <v>2.4</v>
      </c>
      <c r="B110" s="52">
        <v>16996909</v>
      </c>
      <c r="C110" s="52">
        <v>-1</v>
      </c>
      <c r="D110" s="52">
        <v>1896943406</v>
      </c>
      <c r="E110" s="68">
        <v>20000000</v>
      </c>
      <c r="F110" s="52" t="s">
        <v>56</v>
      </c>
      <c r="G110" s="53">
        <v>40570.87127314815</v>
      </c>
      <c r="H110" s="52">
        <v>14</v>
      </c>
      <c r="I110" s="52" t="s">
        <v>64</v>
      </c>
      <c r="J110" s="52">
        <v>2</v>
      </c>
      <c r="K110" s="54">
        <v>40358</v>
      </c>
    </row>
    <row r="111" spans="1:11" x14ac:dyDescent="0.25">
      <c r="A111" s="55">
        <v>2.4</v>
      </c>
      <c r="B111" s="56">
        <v>45064868</v>
      </c>
      <c r="C111" s="56">
        <v>-1</v>
      </c>
      <c r="D111" s="56">
        <v>1893637376</v>
      </c>
      <c r="E111" s="69">
        <v>50000000</v>
      </c>
      <c r="F111" s="56" t="s">
        <v>56</v>
      </c>
      <c r="G111" s="57">
        <v>40570.988993055558</v>
      </c>
      <c r="H111" s="56">
        <v>90</v>
      </c>
      <c r="I111" s="56" t="s">
        <v>68</v>
      </c>
      <c r="J111" s="56">
        <v>4</v>
      </c>
      <c r="K111" s="58">
        <v>40356</v>
      </c>
    </row>
    <row r="112" spans="1:11" x14ac:dyDescent="0.25">
      <c r="A112" s="51">
        <v>2.39</v>
      </c>
      <c r="B112" s="52">
        <v>3080112</v>
      </c>
      <c r="C112" s="52">
        <v>-1</v>
      </c>
      <c r="D112" s="52">
        <v>1819341337</v>
      </c>
      <c r="E112" s="68">
        <v>5000000</v>
      </c>
      <c r="F112" s="52" t="s">
        <v>56</v>
      </c>
      <c r="G112" s="53">
        <v>40568.688194444447</v>
      </c>
      <c r="H112" s="52">
        <v>90</v>
      </c>
      <c r="I112" s="52" t="s">
        <v>62</v>
      </c>
      <c r="J112" s="52">
        <v>7</v>
      </c>
      <c r="K112" s="54">
        <v>40354</v>
      </c>
    </row>
    <row r="113" spans="1:11" x14ac:dyDescent="0.25">
      <c r="A113" s="55">
        <v>2.38</v>
      </c>
      <c r="B113" s="56">
        <v>846694</v>
      </c>
      <c r="C113" s="56">
        <v>-1</v>
      </c>
      <c r="D113" s="56">
        <v>1883507771</v>
      </c>
      <c r="E113" s="69">
        <v>2500000</v>
      </c>
      <c r="F113" s="56" t="s">
        <v>56</v>
      </c>
      <c r="G113" s="57">
        <v>40561.130428240744</v>
      </c>
      <c r="H113" s="56">
        <v>30</v>
      </c>
      <c r="I113" s="56" t="s">
        <v>62</v>
      </c>
      <c r="J113" s="56">
        <v>7</v>
      </c>
      <c r="K113" s="58">
        <v>40352</v>
      </c>
    </row>
    <row r="114" spans="1:11" x14ac:dyDescent="0.25">
      <c r="A114" s="51">
        <v>2.37</v>
      </c>
      <c r="B114" s="52">
        <v>6018902</v>
      </c>
      <c r="C114" s="52">
        <v>-1</v>
      </c>
      <c r="D114" s="52">
        <v>1876394572</v>
      </c>
      <c r="E114" s="68">
        <v>10000000</v>
      </c>
      <c r="F114" s="52" t="s">
        <v>56</v>
      </c>
      <c r="G114" s="53">
        <v>40560.605081018519</v>
      </c>
      <c r="H114" s="52">
        <v>90</v>
      </c>
      <c r="I114" s="52" t="s">
        <v>62</v>
      </c>
      <c r="J114" s="52">
        <v>7</v>
      </c>
      <c r="K114" s="54">
        <v>40350</v>
      </c>
    </row>
    <row r="115" spans="1:11" x14ac:dyDescent="0.25">
      <c r="A115" s="55">
        <v>2.37</v>
      </c>
      <c r="B115" s="56">
        <v>838733</v>
      </c>
      <c r="C115" s="56">
        <v>0</v>
      </c>
      <c r="D115" s="56">
        <v>1880612807</v>
      </c>
      <c r="E115" s="69">
        <v>2000000</v>
      </c>
      <c r="F115" s="56" t="s">
        <v>56</v>
      </c>
      <c r="G115" s="57">
        <v>40570.102349537039</v>
      </c>
      <c r="H115" s="56">
        <v>90</v>
      </c>
      <c r="I115" s="56" t="s">
        <v>64</v>
      </c>
      <c r="J115" s="56">
        <v>5</v>
      </c>
      <c r="K115" s="58">
        <v>40348</v>
      </c>
    </row>
    <row r="116" spans="1:11" x14ac:dyDescent="0.25">
      <c r="A116" s="51">
        <v>2.37</v>
      </c>
      <c r="B116" s="52">
        <v>5122328</v>
      </c>
      <c r="C116" s="52">
        <v>-1</v>
      </c>
      <c r="D116" s="52">
        <v>1887515131</v>
      </c>
      <c r="E116" s="68">
        <v>10000000</v>
      </c>
      <c r="F116" s="52" t="s">
        <v>56</v>
      </c>
      <c r="G116" s="53">
        <v>40570.857152777775</v>
      </c>
      <c r="H116" s="52">
        <v>90</v>
      </c>
      <c r="I116" s="52" t="s">
        <v>65</v>
      </c>
      <c r="J116" s="52">
        <v>4</v>
      </c>
      <c r="K116" s="54">
        <v>40346</v>
      </c>
    </row>
    <row r="117" spans="1:11" x14ac:dyDescent="0.25">
      <c r="A117" s="55">
        <v>2.36</v>
      </c>
      <c r="B117" s="56">
        <v>216846536</v>
      </c>
      <c r="C117" s="56">
        <v>1</v>
      </c>
      <c r="D117" s="56">
        <v>1891259851</v>
      </c>
      <c r="E117" s="69">
        <v>262000000</v>
      </c>
      <c r="F117" s="56" t="s">
        <v>56</v>
      </c>
      <c r="G117" s="57">
        <v>40569.931354166663</v>
      </c>
      <c r="H117" s="56">
        <v>90</v>
      </c>
      <c r="I117" s="56" t="s">
        <v>65</v>
      </c>
      <c r="J117" s="56">
        <v>4</v>
      </c>
      <c r="K117" s="58">
        <v>40344</v>
      </c>
    </row>
    <row r="118" spans="1:11" x14ac:dyDescent="0.25">
      <c r="A118" s="51">
        <v>2.35</v>
      </c>
      <c r="B118" s="52">
        <v>25000000</v>
      </c>
      <c r="C118" s="52">
        <v>-1</v>
      </c>
      <c r="D118" s="52">
        <v>1895794752</v>
      </c>
      <c r="E118" s="68">
        <v>25000000</v>
      </c>
      <c r="F118" s="52" t="s">
        <v>56</v>
      </c>
      <c r="G118" s="53">
        <v>40569.894131944442</v>
      </c>
      <c r="H118" s="52">
        <v>7</v>
      </c>
      <c r="I118" s="52" t="s">
        <v>65</v>
      </c>
      <c r="J118" s="52">
        <v>4</v>
      </c>
      <c r="K118" s="54">
        <v>40342</v>
      </c>
    </row>
    <row r="119" spans="1:11" x14ac:dyDescent="0.25">
      <c r="A119" s="55">
        <v>2.34</v>
      </c>
      <c r="B119" s="56">
        <v>173946899</v>
      </c>
      <c r="C119" s="56">
        <v>-1</v>
      </c>
      <c r="D119" s="56">
        <v>1888874876</v>
      </c>
      <c r="E119" s="69">
        <v>300000000</v>
      </c>
      <c r="F119" s="56" t="s">
        <v>56</v>
      </c>
      <c r="G119" s="57">
        <v>40568.978750000002</v>
      </c>
      <c r="H119" s="56">
        <v>30</v>
      </c>
      <c r="I119" s="56" t="s">
        <v>68</v>
      </c>
      <c r="J119" s="56">
        <v>4</v>
      </c>
      <c r="K119" s="58">
        <v>40340</v>
      </c>
    </row>
    <row r="120" spans="1:11" x14ac:dyDescent="0.25">
      <c r="A120" s="51">
        <v>2.33</v>
      </c>
      <c r="B120" s="52">
        <v>13268442</v>
      </c>
      <c r="C120" s="52">
        <v>-1</v>
      </c>
      <c r="D120" s="52">
        <v>1790355055</v>
      </c>
      <c r="E120" s="68">
        <v>40000000</v>
      </c>
      <c r="F120" s="52" t="s">
        <v>56</v>
      </c>
      <c r="G120" s="53">
        <v>40553.270775462966</v>
      </c>
      <c r="H120" s="52">
        <v>90</v>
      </c>
      <c r="I120" s="52" t="s">
        <v>62</v>
      </c>
      <c r="J120" s="52">
        <v>7</v>
      </c>
      <c r="K120" s="54">
        <v>40338</v>
      </c>
    </row>
    <row r="121" spans="1:11" x14ac:dyDescent="0.25">
      <c r="A121" s="55">
        <v>2.3199999999999998</v>
      </c>
      <c r="B121" s="56">
        <v>10984519</v>
      </c>
      <c r="C121" s="56">
        <v>-1</v>
      </c>
      <c r="D121" s="56">
        <v>1891579917</v>
      </c>
      <c r="E121" s="69">
        <v>400000000</v>
      </c>
      <c r="F121" s="56" t="s">
        <v>56</v>
      </c>
      <c r="G121" s="57">
        <v>40566.824189814812</v>
      </c>
      <c r="H121" s="56">
        <v>90</v>
      </c>
      <c r="I121" s="56" t="s">
        <v>57</v>
      </c>
      <c r="J121" s="56">
        <v>1</v>
      </c>
      <c r="K121" s="58">
        <v>40336</v>
      </c>
    </row>
    <row r="122" spans="1:11" x14ac:dyDescent="0.25">
      <c r="A122" s="51">
        <v>2.31</v>
      </c>
      <c r="B122" s="52">
        <v>17872133</v>
      </c>
      <c r="C122" s="52">
        <v>-1</v>
      </c>
      <c r="D122" s="52">
        <v>1858051535</v>
      </c>
      <c r="E122" s="68">
        <v>800000000</v>
      </c>
      <c r="F122" s="52" t="s">
        <v>56</v>
      </c>
      <c r="G122" s="53">
        <v>40566.922337962962</v>
      </c>
      <c r="H122" s="52">
        <v>90</v>
      </c>
      <c r="I122" s="52" t="s">
        <v>66</v>
      </c>
      <c r="J122" s="52">
        <v>5</v>
      </c>
      <c r="K122" s="54">
        <v>40334</v>
      </c>
    </row>
    <row r="123" spans="1:11" x14ac:dyDescent="0.25">
      <c r="A123" s="55">
        <v>2.31</v>
      </c>
      <c r="B123" s="56">
        <v>3843206</v>
      </c>
      <c r="C123" s="56">
        <v>0</v>
      </c>
      <c r="D123" s="56">
        <v>1897185361</v>
      </c>
      <c r="E123" s="69">
        <v>4000000</v>
      </c>
      <c r="F123" s="56" t="s">
        <v>56</v>
      </c>
      <c r="G123" s="57">
        <v>40571.009085648147</v>
      </c>
      <c r="H123" s="56">
        <v>3</v>
      </c>
      <c r="I123" s="56" t="s">
        <v>63</v>
      </c>
      <c r="J123" s="56">
        <v>2</v>
      </c>
      <c r="K123" s="58">
        <v>40332</v>
      </c>
    </row>
    <row r="124" spans="1:11" x14ac:dyDescent="0.25">
      <c r="A124" s="51">
        <v>2.2999999999999998</v>
      </c>
      <c r="B124" s="52">
        <v>103892897</v>
      </c>
      <c r="C124" s="52">
        <v>0</v>
      </c>
      <c r="D124" s="52">
        <v>1883563816</v>
      </c>
      <c r="E124" s="68">
        <v>300000000</v>
      </c>
      <c r="F124" s="52" t="s">
        <v>56</v>
      </c>
      <c r="G124" s="53">
        <v>40569.642152777778</v>
      </c>
      <c r="H124" s="52">
        <v>90</v>
      </c>
      <c r="I124" s="52" t="s">
        <v>63</v>
      </c>
      <c r="J124" s="52">
        <v>2</v>
      </c>
      <c r="K124" s="54">
        <v>40330</v>
      </c>
    </row>
    <row r="125" spans="1:11" x14ac:dyDescent="0.25">
      <c r="A125" s="55">
        <v>2.29</v>
      </c>
      <c r="B125" s="56">
        <v>6577104</v>
      </c>
      <c r="C125" s="56">
        <v>-1</v>
      </c>
      <c r="D125" s="56">
        <v>1890663670</v>
      </c>
      <c r="E125" s="69">
        <v>8335395</v>
      </c>
      <c r="F125" s="56" t="s">
        <v>56</v>
      </c>
      <c r="G125" s="57">
        <v>40566.276979166665</v>
      </c>
      <c r="H125" s="56">
        <v>90</v>
      </c>
      <c r="I125" s="56" t="s">
        <v>68</v>
      </c>
      <c r="J125" s="56">
        <v>4</v>
      </c>
      <c r="K125" s="58">
        <v>40328</v>
      </c>
    </row>
    <row r="126" spans="1:11" x14ac:dyDescent="0.25">
      <c r="A126" s="51">
        <v>2.29</v>
      </c>
      <c r="B126" s="52">
        <v>32392786</v>
      </c>
      <c r="C126" s="52">
        <v>2</v>
      </c>
      <c r="D126" s="52">
        <v>1896378816</v>
      </c>
      <c r="E126" s="68">
        <v>90000000</v>
      </c>
      <c r="F126" s="52" t="s">
        <v>56</v>
      </c>
      <c r="G126" s="53">
        <v>40570.340509259258</v>
      </c>
      <c r="H126" s="52">
        <v>90</v>
      </c>
      <c r="I126" s="52" t="s">
        <v>66</v>
      </c>
      <c r="J126" s="52">
        <v>4</v>
      </c>
      <c r="K126" s="54">
        <v>40326</v>
      </c>
    </row>
    <row r="127" spans="1:11" x14ac:dyDescent="0.25">
      <c r="A127" s="55">
        <v>2.2799</v>
      </c>
      <c r="B127" s="56">
        <v>145716709</v>
      </c>
      <c r="C127" s="56">
        <v>-1</v>
      </c>
      <c r="D127" s="56">
        <v>1893857387</v>
      </c>
      <c r="E127" s="69">
        <v>150150150</v>
      </c>
      <c r="F127" s="56" t="s">
        <v>56</v>
      </c>
      <c r="G127" s="57">
        <v>40570.223611111112</v>
      </c>
      <c r="H127" s="56">
        <v>7</v>
      </c>
      <c r="I127" s="56" t="s">
        <v>65</v>
      </c>
      <c r="J127" s="56">
        <v>3</v>
      </c>
      <c r="K127" s="58">
        <v>40324</v>
      </c>
    </row>
    <row r="128" spans="1:11" x14ac:dyDescent="0.25">
      <c r="A128" s="51">
        <v>2.2599</v>
      </c>
      <c r="B128" s="52">
        <v>1288838</v>
      </c>
      <c r="C128" s="52">
        <v>-1</v>
      </c>
      <c r="D128" s="52">
        <v>1890650632</v>
      </c>
      <c r="E128" s="68">
        <v>2400000</v>
      </c>
      <c r="F128" s="52" t="s">
        <v>56</v>
      </c>
      <c r="G128" s="53">
        <v>40570.344629629632</v>
      </c>
      <c r="H128" s="52">
        <v>90</v>
      </c>
      <c r="I128" s="52" t="s">
        <v>64</v>
      </c>
      <c r="J128" s="52">
        <v>2</v>
      </c>
      <c r="K128" s="54">
        <v>40322</v>
      </c>
    </row>
    <row r="129" spans="1:11" x14ac:dyDescent="0.25">
      <c r="A129" s="55">
        <v>2.25</v>
      </c>
      <c r="B129" s="56">
        <v>1022000000</v>
      </c>
      <c r="C129" s="56">
        <v>-1</v>
      </c>
      <c r="D129" s="56">
        <v>1875656074</v>
      </c>
      <c r="E129" s="69">
        <v>1022000000</v>
      </c>
      <c r="F129" s="56" t="s">
        <v>56</v>
      </c>
      <c r="G129" s="57">
        <v>40567.070486111108</v>
      </c>
      <c r="H129" s="56">
        <v>90</v>
      </c>
      <c r="I129" s="56" t="s">
        <v>68</v>
      </c>
      <c r="J129" s="56">
        <v>4</v>
      </c>
      <c r="K129" s="58">
        <v>40320</v>
      </c>
    </row>
    <row r="130" spans="1:11" x14ac:dyDescent="0.25">
      <c r="A130" s="51">
        <v>2.25</v>
      </c>
      <c r="B130" s="52">
        <v>15359195</v>
      </c>
      <c r="C130" s="52">
        <v>0</v>
      </c>
      <c r="D130" s="52">
        <v>1889623543</v>
      </c>
      <c r="E130" s="68">
        <v>50000000</v>
      </c>
      <c r="F130" s="52" t="s">
        <v>56</v>
      </c>
      <c r="G130" s="53">
        <v>40569.234178240738</v>
      </c>
      <c r="H130" s="52">
        <v>90</v>
      </c>
      <c r="I130" s="52" t="s">
        <v>64</v>
      </c>
      <c r="J130" s="52">
        <v>2</v>
      </c>
      <c r="K130" s="54">
        <v>40318</v>
      </c>
    </row>
    <row r="131" spans="1:11" x14ac:dyDescent="0.25">
      <c r="A131" s="55">
        <v>2.2400000000000002</v>
      </c>
      <c r="B131" s="56">
        <v>9477950</v>
      </c>
      <c r="C131" s="56">
        <v>-1</v>
      </c>
      <c r="D131" s="56">
        <v>1894018815</v>
      </c>
      <c r="E131" s="69">
        <v>10000000</v>
      </c>
      <c r="F131" s="56" t="s">
        <v>56</v>
      </c>
      <c r="G131" s="57">
        <v>40568.633368055554</v>
      </c>
      <c r="H131" s="56">
        <v>90</v>
      </c>
      <c r="I131" s="56" t="s">
        <v>64</v>
      </c>
      <c r="J131" s="56">
        <v>2</v>
      </c>
      <c r="K131" s="58">
        <v>40316</v>
      </c>
    </row>
    <row r="132" spans="1:11" x14ac:dyDescent="0.25">
      <c r="A132" s="51">
        <v>2.2400000000000002</v>
      </c>
      <c r="B132" s="52">
        <v>16707764</v>
      </c>
      <c r="C132" s="52">
        <v>-1</v>
      </c>
      <c r="D132" s="52">
        <v>1894791644</v>
      </c>
      <c r="E132" s="68">
        <v>20000000</v>
      </c>
      <c r="F132" s="52" t="s">
        <v>56</v>
      </c>
      <c r="G132" s="53">
        <v>40569.085196759261</v>
      </c>
      <c r="H132" s="52">
        <v>90</v>
      </c>
      <c r="I132" s="52" t="s">
        <v>65</v>
      </c>
      <c r="J132" s="52">
        <v>3</v>
      </c>
      <c r="K132" s="54">
        <v>40314</v>
      </c>
    </row>
    <row r="133" spans="1:11" x14ac:dyDescent="0.25">
      <c r="A133" s="55">
        <v>2.23</v>
      </c>
      <c r="B133" s="56">
        <v>2359000</v>
      </c>
      <c r="C133" s="56">
        <v>-1</v>
      </c>
      <c r="D133" s="56">
        <v>1890759021</v>
      </c>
      <c r="E133" s="69">
        <v>6000000</v>
      </c>
      <c r="F133" s="56" t="s">
        <v>56</v>
      </c>
      <c r="G133" s="57">
        <v>40566.356759259259</v>
      </c>
      <c r="H133" s="56">
        <v>90</v>
      </c>
      <c r="I133" s="56" t="s">
        <v>57</v>
      </c>
      <c r="J133" s="56">
        <v>1</v>
      </c>
      <c r="K133" s="58">
        <v>40312</v>
      </c>
    </row>
    <row r="134" spans="1:11" x14ac:dyDescent="0.25">
      <c r="A134" s="51">
        <v>2.23</v>
      </c>
      <c r="B134" s="52">
        <v>300000000</v>
      </c>
      <c r="C134" s="52">
        <v>-1</v>
      </c>
      <c r="D134" s="52">
        <v>1891360423</v>
      </c>
      <c r="E134" s="68">
        <v>300000000</v>
      </c>
      <c r="F134" s="52" t="s">
        <v>56</v>
      </c>
      <c r="G134" s="53">
        <v>40566.727870370371</v>
      </c>
      <c r="H134" s="52">
        <v>90</v>
      </c>
      <c r="I134" s="52" t="s">
        <v>68</v>
      </c>
      <c r="J134" s="52">
        <v>4</v>
      </c>
      <c r="K134" s="54">
        <v>40310</v>
      </c>
    </row>
    <row r="135" spans="1:11" x14ac:dyDescent="0.25">
      <c r="A135" s="55">
        <v>2.2200000000000002</v>
      </c>
      <c r="B135" s="56">
        <v>23237209</v>
      </c>
      <c r="C135" s="56">
        <v>0</v>
      </c>
      <c r="D135" s="56">
        <v>1896292344</v>
      </c>
      <c r="E135" s="69">
        <v>25000000</v>
      </c>
      <c r="F135" s="56" t="s">
        <v>56</v>
      </c>
      <c r="G135" s="57">
        <v>40570.984282407408</v>
      </c>
      <c r="H135" s="56">
        <v>90</v>
      </c>
      <c r="I135" s="56" t="s">
        <v>61</v>
      </c>
      <c r="J135" s="56">
        <v>4</v>
      </c>
      <c r="K135" s="58">
        <v>40308</v>
      </c>
    </row>
    <row r="136" spans="1:11" x14ac:dyDescent="0.25">
      <c r="A136" s="51">
        <v>2.21</v>
      </c>
      <c r="B136" s="52">
        <v>45608691</v>
      </c>
      <c r="C136" s="52">
        <v>0</v>
      </c>
      <c r="D136" s="52">
        <v>1894972355</v>
      </c>
      <c r="E136" s="68">
        <v>50000000</v>
      </c>
      <c r="F136" s="52" t="s">
        <v>56</v>
      </c>
      <c r="G136" s="53">
        <v>40569.634548611109</v>
      </c>
      <c r="H136" s="52">
        <v>90</v>
      </c>
      <c r="I136" s="52" t="s">
        <v>64</v>
      </c>
      <c r="J136" s="52">
        <v>2</v>
      </c>
      <c r="K136" s="54">
        <v>40306</v>
      </c>
    </row>
    <row r="137" spans="1:11" x14ac:dyDescent="0.25">
      <c r="A137" s="55">
        <v>2.21</v>
      </c>
      <c r="B137" s="56">
        <v>55767465</v>
      </c>
      <c r="C137" s="56">
        <v>0</v>
      </c>
      <c r="D137" s="56">
        <v>1892041238</v>
      </c>
      <c r="E137" s="69">
        <v>80000000</v>
      </c>
      <c r="F137" s="56" t="s">
        <v>56</v>
      </c>
      <c r="G137" s="57">
        <v>40570.262546296297</v>
      </c>
      <c r="H137" s="56">
        <v>30</v>
      </c>
      <c r="I137" s="56" t="s">
        <v>61</v>
      </c>
      <c r="J137" s="56">
        <v>4</v>
      </c>
      <c r="K137" s="58">
        <v>40304</v>
      </c>
    </row>
    <row r="138" spans="1:11" x14ac:dyDescent="0.25">
      <c r="A138" s="51">
        <v>2.21</v>
      </c>
      <c r="B138" s="52">
        <v>92840859</v>
      </c>
      <c r="C138" s="52">
        <v>0</v>
      </c>
      <c r="D138" s="52">
        <v>1874623056</v>
      </c>
      <c r="E138" s="68">
        <v>100000000</v>
      </c>
      <c r="F138" s="52" t="s">
        <v>56</v>
      </c>
      <c r="G138" s="53">
        <v>40570.262673611112</v>
      </c>
      <c r="H138" s="52">
        <v>30</v>
      </c>
      <c r="I138" s="52" t="s">
        <v>61</v>
      </c>
      <c r="J138" s="52">
        <v>4</v>
      </c>
      <c r="K138" s="54">
        <v>40302</v>
      </c>
    </row>
    <row r="139" spans="1:11" x14ac:dyDescent="0.25">
      <c r="A139" s="55">
        <v>2.21</v>
      </c>
      <c r="B139" s="56">
        <v>9701</v>
      </c>
      <c r="C139" s="56">
        <v>-1</v>
      </c>
      <c r="D139" s="56">
        <v>1896333032</v>
      </c>
      <c r="E139" s="69">
        <v>250000</v>
      </c>
      <c r="F139" s="56" t="s">
        <v>56</v>
      </c>
      <c r="G139" s="57">
        <v>40570.290266203701</v>
      </c>
      <c r="H139" s="56">
        <v>7</v>
      </c>
      <c r="I139" s="56" t="s">
        <v>58</v>
      </c>
      <c r="J139" s="56">
        <v>6</v>
      </c>
      <c r="K139" s="58">
        <v>40300</v>
      </c>
    </row>
    <row r="140" spans="1:11" x14ac:dyDescent="0.25">
      <c r="A140" s="51">
        <v>2.2000000000000002</v>
      </c>
      <c r="B140" s="52">
        <v>1165631</v>
      </c>
      <c r="C140" s="52">
        <v>-1</v>
      </c>
      <c r="D140" s="52">
        <v>1893184522</v>
      </c>
      <c r="E140" s="68">
        <v>3000000</v>
      </c>
      <c r="F140" s="52" t="s">
        <v>56</v>
      </c>
      <c r="G140" s="53">
        <v>40567.919178240743</v>
      </c>
      <c r="H140" s="52">
        <v>3</v>
      </c>
      <c r="I140" s="52" t="s">
        <v>58</v>
      </c>
      <c r="J140" s="52">
        <v>6</v>
      </c>
      <c r="K140" s="54">
        <v>40298</v>
      </c>
    </row>
    <row r="141" spans="1:11" x14ac:dyDescent="0.25">
      <c r="A141" s="55">
        <v>2.2000000000000002</v>
      </c>
      <c r="B141" s="56">
        <v>99533847</v>
      </c>
      <c r="C141" s="56">
        <v>-1</v>
      </c>
      <c r="D141" s="56">
        <v>1895026851</v>
      </c>
      <c r="E141" s="69">
        <v>100000000</v>
      </c>
      <c r="F141" s="56" t="s">
        <v>56</v>
      </c>
      <c r="G141" s="57">
        <v>40569.292754629627</v>
      </c>
      <c r="H141" s="56">
        <v>90</v>
      </c>
      <c r="I141" s="56" t="s">
        <v>64</v>
      </c>
      <c r="J141" s="56">
        <v>2</v>
      </c>
      <c r="K141" s="58">
        <v>40296</v>
      </c>
    </row>
    <row r="142" spans="1:11" x14ac:dyDescent="0.25">
      <c r="A142" s="51">
        <v>2.19</v>
      </c>
      <c r="B142" s="52">
        <v>105999</v>
      </c>
      <c r="C142" s="52">
        <v>-1</v>
      </c>
      <c r="D142" s="52">
        <v>1889282651</v>
      </c>
      <c r="E142" s="68">
        <v>10000000</v>
      </c>
      <c r="F142" s="52" t="s">
        <v>56</v>
      </c>
      <c r="G142" s="53">
        <v>40567.995486111111</v>
      </c>
      <c r="H142" s="52">
        <v>30</v>
      </c>
      <c r="I142" s="52" t="s">
        <v>67</v>
      </c>
      <c r="J142" s="52">
        <v>7</v>
      </c>
      <c r="K142" s="54">
        <v>40294</v>
      </c>
    </row>
    <row r="143" spans="1:11" x14ac:dyDescent="0.25">
      <c r="A143" s="55">
        <v>2.1800000000000002</v>
      </c>
      <c r="B143" s="56">
        <v>250155595</v>
      </c>
      <c r="C143" s="56">
        <v>-1</v>
      </c>
      <c r="D143" s="56">
        <v>1871070131</v>
      </c>
      <c r="E143" s="69">
        <v>300000000</v>
      </c>
      <c r="F143" s="56" t="s">
        <v>56</v>
      </c>
      <c r="G143" s="57">
        <v>40550.869062500002</v>
      </c>
      <c r="H143" s="56">
        <v>90</v>
      </c>
      <c r="I143" s="56" t="s">
        <v>57</v>
      </c>
      <c r="J143" s="56">
        <v>1</v>
      </c>
      <c r="K143" s="58">
        <v>40292</v>
      </c>
    </row>
    <row r="144" spans="1:11" x14ac:dyDescent="0.25">
      <c r="A144" s="51">
        <v>2.1800000000000002</v>
      </c>
      <c r="B144" s="52">
        <v>112947789</v>
      </c>
      <c r="C144" s="52">
        <v>1</v>
      </c>
      <c r="D144" s="52">
        <v>1892502326</v>
      </c>
      <c r="E144" s="68">
        <v>180000000</v>
      </c>
      <c r="F144" s="52" t="s">
        <v>56</v>
      </c>
      <c r="G144" s="53">
        <v>40567.486759259256</v>
      </c>
      <c r="H144" s="52">
        <v>90</v>
      </c>
      <c r="I144" s="52" t="s">
        <v>67</v>
      </c>
      <c r="J144" s="52">
        <v>6</v>
      </c>
      <c r="K144" s="54">
        <v>40290</v>
      </c>
    </row>
    <row r="145" spans="1:11" x14ac:dyDescent="0.25">
      <c r="A145" s="55">
        <v>2.17</v>
      </c>
      <c r="B145" s="56">
        <v>966545</v>
      </c>
      <c r="C145" s="56">
        <v>0</v>
      </c>
      <c r="D145" s="56">
        <v>1881017225</v>
      </c>
      <c r="E145" s="69">
        <v>93000000</v>
      </c>
      <c r="F145" s="56" t="s">
        <v>56</v>
      </c>
      <c r="G145" s="57">
        <v>40566.488206018519</v>
      </c>
      <c r="H145" s="56">
        <v>90</v>
      </c>
      <c r="I145" s="56" t="s">
        <v>67</v>
      </c>
      <c r="J145" s="56">
        <v>5</v>
      </c>
      <c r="K145" s="58">
        <v>40288</v>
      </c>
    </row>
    <row r="146" spans="1:11" x14ac:dyDescent="0.25">
      <c r="A146" s="51">
        <v>2.17</v>
      </c>
      <c r="B146" s="52">
        <v>6646694</v>
      </c>
      <c r="C146" s="52">
        <v>-1</v>
      </c>
      <c r="D146" s="52">
        <v>1882440527</v>
      </c>
      <c r="E146" s="68">
        <v>10000000</v>
      </c>
      <c r="F146" s="52" t="s">
        <v>56</v>
      </c>
      <c r="G146" s="53">
        <v>40568.124108796299</v>
      </c>
      <c r="H146" s="52">
        <v>90</v>
      </c>
      <c r="I146" s="52" t="s">
        <v>65</v>
      </c>
      <c r="J146" s="52">
        <v>3</v>
      </c>
      <c r="K146" s="54">
        <v>40286</v>
      </c>
    </row>
    <row r="147" spans="1:11" x14ac:dyDescent="0.25">
      <c r="A147" s="55">
        <v>2.17</v>
      </c>
      <c r="B147" s="56">
        <v>16200000</v>
      </c>
      <c r="C147" s="56">
        <v>0</v>
      </c>
      <c r="D147" s="56">
        <v>1896416499</v>
      </c>
      <c r="E147" s="69">
        <v>16200000</v>
      </c>
      <c r="F147" s="56" t="s">
        <v>56</v>
      </c>
      <c r="G147" s="57">
        <v>40570.381782407407</v>
      </c>
      <c r="H147" s="56">
        <v>90</v>
      </c>
      <c r="I147" s="56" t="s">
        <v>67</v>
      </c>
      <c r="J147" s="56">
        <v>5</v>
      </c>
      <c r="K147" s="58">
        <v>40284</v>
      </c>
    </row>
    <row r="148" spans="1:11" x14ac:dyDescent="0.25">
      <c r="A148" s="51">
        <v>2.16</v>
      </c>
      <c r="B148" s="52">
        <v>2843927</v>
      </c>
      <c r="C148" s="52">
        <v>-1</v>
      </c>
      <c r="D148" s="52">
        <v>1889334508</v>
      </c>
      <c r="E148" s="68">
        <v>10000000</v>
      </c>
      <c r="F148" s="52" t="s">
        <v>56</v>
      </c>
      <c r="G148" s="53">
        <v>40565.521574074075</v>
      </c>
      <c r="H148" s="52">
        <v>90</v>
      </c>
      <c r="I148" s="52" t="s">
        <v>67</v>
      </c>
      <c r="J148" s="52">
        <v>5</v>
      </c>
      <c r="K148" s="54">
        <v>40282</v>
      </c>
    </row>
    <row r="149" spans="1:11" x14ac:dyDescent="0.25">
      <c r="A149" s="55">
        <v>2.14</v>
      </c>
      <c r="B149" s="56">
        <v>1315222</v>
      </c>
      <c r="C149" s="56">
        <v>0</v>
      </c>
      <c r="D149" s="56">
        <v>1895864989</v>
      </c>
      <c r="E149" s="69">
        <v>2000000</v>
      </c>
      <c r="F149" s="56" t="s">
        <v>56</v>
      </c>
      <c r="G149" s="57">
        <v>40570.999722222223</v>
      </c>
      <c r="H149" s="56">
        <v>90</v>
      </c>
      <c r="I149" s="56" t="s">
        <v>58</v>
      </c>
      <c r="J149" s="56">
        <v>6</v>
      </c>
      <c r="K149" s="58">
        <v>40280</v>
      </c>
    </row>
    <row r="150" spans="1:11" x14ac:dyDescent="0.25">
      <c r="A150" s="51">
        <v>2.13</v>
      </c>
      <c r="B150" s="52">
        <v>91479082</v>
      </c>
      <c r="C150" s="52">
        <v>-1</v>
      </c>
      <c r="D150" s="52">
        <v>1889107327</v>
      </c>
      <c r="E150" s="68">
        <v>100000000</v>
      </c>
      <c r="F150" s="52" t="s">
        <v>56</v>
      </c>
      <c r="G150" s="53">
        <v>40570.901226851849</v>
      </c>
      <c r="H150" s="52">
        <v>30</v>
      </c>
      <c r="I150" s="52" t="s">
        <v>68</v>
      </c>
      <c r="J150" s="52">
        <v>5</v>
      </c>
      <c r="K150" s="54">
        <v>40278</v>
      </c>
    </row>
    <row r="151" spans="1:11" x14ac:dyDescent="0.25">
      <c r="A151" s="55">
        <v>2.13</v>
      </c>
      <c r="B151" s="56">
        <v>94106454</v>
      </c>
      <c r="C151" s="56">
        <v>32767</v>
      </c>
      <c r="D151" s="56">
        <v>1896389335</v>
      </c>
      <c r="E151" s="69">
        <v>100000000</v>
      </c>
      <c r="F151" s="56" t="s">
        <v>56</v>
      </c>
      <c r="G151" s="57">
        <v>40570.923379629632</v>
      </c>
      <c r="H151" s="56">
        <v>90</v>
      </c>
      <c r="I151" s="56" t="s">
        <v>64</v>
      </c>
      <c r="J151" s="56">
        <v>2</v>
      </c>
      <c r="K151" s="58">
        <v>40276</v>
      </c>
    </row>
    <row r="152" spans="1:11" x14ac:dyDescent="0.25">
      <c r="A152" s="51">
        <v>2.12</v>
      </c>
      <c r="B152" s="52">
        <v>11064689</v>
      </c>
      <c r="C152" s="52">
        <v>0</v>
      </c>
      <c r="D152" s="52">
        <v>1883188407</v>
      </c>
      <c r="E152" s="68">
        <v>50000000</v>
      </c>
      <c r="F152" s="52" t="s">
        <v>56</v>
      </c>
      <c r="G152" s="53">
        <v>40570.316157407404</v>
      </c>
      <c r="H152" s="52">
        <v>90</v>
      </c>
      <c r="I152" s="52" t="s">
        <v>61</v>
      </c>
      <c r="J152" s="52">
        <v>4</v>
      </c>
      <c r="K152" s="54">
        <v>40274</v>
      </c>
    </row>
    <row r="153" spans="1:11" x14ac:dyDescent="0.25">
      <c r="A153" s="55">
        <v>2.12</v>
      </c>
      <c r="B153" s="56">
        <v>94916084</v>
      </c>
      <c r="C153" s="56">
        <v>5</v>
      </c>
      <c r="D153" s="56">
        <v>1890506540</v>
      </c>
      <c r="E153" s="69">
        <v>500000000</v>
      </c>
      <c r="F153" s="56" t="s">
        <v>56</v>
      </c>
      <c r="G153" s="57">
        <v>40570.660011574073</v>
      </c>
      <c r="H153" s="56">
        <v>90</v>
      </c>
      <c r="I153" s="56" t="s">
        <v>68</v>
      </c>
      <c r="J153" s="56">
        <v>4</v>
      </c>
      <c r="K153" s="58">
        <v>40272</v>
      </c>
    </row>
    <row r="154" spans="1:11" x14ac:dyDescent="0.25">
      <c r="A154" s="51">
        <v>2.12</v>
      </c>
      <c r="B154" s="52">
        <v>500000000</v>
      </c>
      <c r="C154" s="52">
        <v>5</v>
      </c>
      <c r="D154" s="52">
        <v>1892660100</v>
      </c>
      <c r="E154" s="68">
        <v>500000000</v>
      </c>
      <c r="F154" s="52" t="s">
        <v>56</v>
      </c>
      <c r="G154" s="53">
        <v>40570.660046296296</v>
      </c>
      <c r="H154" s="52">
        <v>90</v>
      </c>
      <c r="I154" s="52" t="s">
        <v>68</v>
      </c>
      <c r="J154" s="52">
        <v>4</v>
      </c>
      <c r="K154" s="54">
        <v>40270</v>
      </c>
    </row>
    <row r="155" spans="1:11" x14ac:dyDescent="0.25">
      <c r="A155" s="55">
        <v>2.12</v>
      </c>
      <c r="B155" s="56">
        <v>12105557</v>
      </c>
      <c r="C155" s="56">
        <v>3</v>
      </c>
      <c r="D155" s="56">
        <v>1893153421</v>
      </c>
      <c r="E155" s="69">
        <v>20000000</v>
      </c>
      <c r="F155" s="56" t="s">
        <v>56</v>
      </c>
      <c r="G155" s="57">
        <v>40570.911956018521</v>
      </c>
      <c r="H155" s="56">
        <v>30</v>
      </c>
      <c r="I155" s="56" t="s">
        <v>57</v>
      </c>
      <c r="J155" s="56">
        <v>1</v>
      </c>
      <c r="K155" s="58">
        <v>40268</v>
      </c>
    </row>
    <row r="156" spans="1:11" x14ac:dyDescent="0.25">
      <c r="A156" s="51">
        <v>2.12</v>
      </c>
      <c r="B156" s="52">
        <v>14684473</v>
      </c>
      <c r="C156" s="52">
        <v>5</v>
      </c>
      <c r="D156" s="52">
        <v>1894529778</v>
      </c>
      <c r="E156" s="68">
        <v>20000000</v>
      </c>
      <c r="F156" s="52" t="s">
        <v>56</v>
      </c>
      <c r="G156" s="53">
        <v>40570.912291666667</v>
      </c>
      <c r="H156" s="52">
        <v>30</v>
      </c>
      <c r="I156" s="52" t="s">
        <v>69</v>
      </c>
      <c r="J156" s="52">
        <v>6</v>
      </c>
      <c r="K156" s="54">
        <v>40266</v>
      </c>
    </row>
    <row r="157" spans="1:11" x14ac:dyDescent="0.25">
      <c r="A157" s="55">
        <v>2.11</v>
      </c>
      <c r="B157" s="56">
        <v>3883959</v>
      </c>
      <c r="C157" s="56">
        <v>-1</v>
      </c>
      <c r="D157" s="56">
        <v>1825837684</v>
      </c>
      <c r="E157" s="69">
        <v>400000000</v>
      </c>
      <c r="F157" s="56" t="s">
        <v>56</v>
      </c>
      <c r="G157" s="57">
        <v>40514.980497685188</v>
      </c>
      <c r="H157" s="56">
        <v>90</v>
      </c>
      <c r="I157" s="56" t="s">
        <v>57</v>
      </c>
      <c r="J157" s="56">
        <v>1</v>
      </c>
      <c r="K157" s="58">
        <v>40264</v>
      </c>
    </row>
    <row r="158" spans="1:11" x14ac:dyDescent="0.25">
      <c r="A158" s="51">
        <v>2.11</v>
      </c>
      <c r="B158" s="52">
        <v>10000000</v>
      </c>
      <c r="C158" s="52">
        <v>0</v>
      </c>
      <c r="D158" s="52">
        <v>1896374323</v>
      </c>
      <c r="E158" s="68">
        <v>10000000</v>
      </c>
      <c r="F158" s="52" t="s">
        <v>56</v>
      </c>
      <c r="G158" s="53">
        <v>40570.336319444446</v>
      </c>
      <c r="H158" s="52">
        <v>90</v>
      </c>
      <c r="I158" s="52" t="s">
        <v>62</v>
      </c>
      <c r="J158" s="52">
        <v>7</v>
      </c>
      <c r="K158" s="54">
        <v>40262</v>
      </c>
    </row>
    <row r="159" spans="1:11" x14ac:dyDescent="0.25">
      <c r="A159" s="55">
        <v>2.11</v>
      </c>
      <c r="B159" s="56">
        <v>86437969</v>
      </c>
      <c r="C159" s="56">
        <v>40</v>
      </c>
      <c r="D159" s="56">
        <v>1896543894</v>
      </c>
      <c r="E159" s="69">
        <v>100000000</v>
      </c>
      <c r="F159" s="56" t="s">
        <v>56</v>
      </c>
      <c r="G159" s="57">
        <v>40570.632407407407</v>
      </c>
      <c r="H159" s="56">
        <v>90</v>
      </c>
      <c r="I159" s="56" t="s">
        <v>68</v>
      </c>
      <c r="J159" s="56">
        <v>4</v>
      </c>
      <c r="K159" s="58">
        <v>40260</v>
      </c>
    </row>
    <row r="160" spans="1:11" x14ac:dyDescent="0.25">
      <c r="A160" s="51">
        <v>2.09</v>
      </c>
      <c r="B160" s="52">
        <v>1449422</v>
      </c>
      <c r="C160" s="52">
        <v>-1</v>
      </c>
      <c r="D160" s="52">
        <v>1895578345</v>
      </c>
      <c r="E160" s="68">
        <v>5000000</v>
      </c>
      <c r="F160" s="52" t="s">
        <v>56</v>
      </c>
      <c r="G160" s="53">
        <v>40570.798900462964</v>
      </c>
      <c r="H160" s="52">
        <v>3</v>
      </c>
      <c r="I160" s="52" t="s">
        <v>61</v>
      </c>
      <c r="J160" s="52">
        <v>3</v>
      </c>
      <c r="K160" s="54">
        <v>40258</v>
      </c>
    </row>
    <row r="161" spans="1:11" x14ac:dyDescent="0.25">
      <c r="A161" s="55">
        <v>2.09</v>
      </c>
      <c r="B161" s="56">
        <v>1458326</v>
      </c>
      <c r="C161" s="56">
        <v>0</v>
      </c>
      <c r="D161" s="56">
        <v>1893333187</v>
      </c>
      <c r="E161" s="69">
        <v>2000000</v>
      </c>
      <c r="F161" s="56" t="s">
        <v>56</v>
      </c>
      <c r="G161" s="57">
        <v>40570.856087962966</v>
      </c>
      <c r="H161" s="56">
        <v>90</v>
      </c>
      <c r="I161" s="56" t="s">
        <v>57</v>
      </c>
      <c r="J161" s="56">
        <v>8</v>
      </c>
      <c r="K161" s="58">
        <v>40256</v>
      </c>
    </row>
    <row r="162" spans="1:11" x14ac:dyDescent="0.25">
      <c r="A162" s="51">
        <v>2.09</v>
      </c>
      <c r="B162" s="52">
        <v>81714136</v>
      </c>
      <c r="C162" s="52">
        <v>2</v>
      </c>
      <c r="D162" s="52">
        <v>1879385045</v>
      </c>
      <c r="E162" s="68">
        <v>150000000</v>
      </c>
      <c r="F162" s="52" t="s">
        <v>56</v>
      </c>
      <c r="G162" s="53">
        <v>40570.901388888888</v>
      </c>
      <c r="H162" s="52">
        <v>14</v>
      </c>
      <c r="I162" s="52" t="s">
        <v>58</v>
      </c>
      <c r="J162" s="52">
        <v>11</v>
      </c>
      <c r="K162" s="54">
        <v>40254</v>
      </c>
    </row>
    <row r="163" spans="1:11" x14ac:dyDescent="0.25">
      <c r="A163" s="55">
        <v>2.08</v>
      </c>
      <c r="B163" s="56">
        <v>65000000</v>
      </c>
      <c r="C163" s="56">
        <v>32767</v>
      </c>
      <c r="D163" s="56">
        <v>1893003154</v>
      </c>
      <c r="E163" s="69">
        <v>65000000</v>
      </c>
      <c r="F163" s="56" t="s">
        <v>56</v>
      </c>
      <c r="G163" s="57">
        <v>40570.688240740739</v>
      </c>
      <c r="H163" s="56">
        <v>90</v>
      </c>
      <c r="I163" s="56" t="s">
        <v>63</v>
      </c>
      <c r="J163" s="56">
        <v>2</v>
      </c>
      <c r="K163" s="58">
        <v>40252</v>
      </c>
    </row>
    <row r="164" spans="1:11" x14ac:dyDescent="0.25">
      <c r="A164" s="51">
        <v>2.0699999999999998</v>
      </c>
      <c r="B164" s="52">
        <v>37546986</v>
      </c>
      <c r="C164" s="52">
        <v>-1</v>
      </c>
      <c r="D164" s="52">
        <v>1888200519</v>
      </c>
      <c r="E164" s="68">
        <v>50000000</v>
      </c>
      <c r="F164" s="52" t="s">
        <v>56</v>
      </c>
      <c r="G164" s="53">
        <v>40566.424386574072</v>
      </c>
      <c r="H164" s="52">
        <v>90</v>
      </c>
      <c r="I164" s="52" t="s">
        <v>61</v>
      </c>
      <c r="J164" s="52">
        <v>3</v>
      </c>
      <c r="K164" s="54">
        <v>40250</v>
      </c>
    </row>
    <row r="165" spans="1:11" x14ac:dyDescent="0.25">
      <c r="A165" s="55">
        <v>2.0699999999999998</v>
      </c>
      <c r="B165" s="56">
        <v>931662354</v>
      </c>
      <c r="C165" s="56">
        <v>5</v>
      </c>
      <c r="D165" s="56">
        <v>1893781508</v>
      </c>
      <c r="E165" s="69">
        <v>1014369479</v>
      </c>
      <c r="F165" s="56" t="s">
        <v>56</v>
      </c>
      <c r="G165" s="57">
        <v>40568.380706018521</v>
      </c>
      <c r="H165" s="56">
        <v>30</v>
      </c>
      <c r="I165" s="56" t="s">
        <v>59</v>
      </c>
      <c r="J165" s="56">
        <v>3</v>
      </c>
      <c r="K165" s="58">
        <v>40248</v>
      </c>
    </row>
    <row r="166" spans="1:11" x14ac:dyDescent="0.25">
      <c r="A166" s="51">
        <v>2.0699999999999998</v>
      </c>
      <c r="B166" s="52">
        <v>22628673</v>
      </c>
      <c r="C166" s="52">
        <v>32767</v>
      </c>
      <c r="D166" s="52">
        <v>1892513942</v>
      </c>
      <c r="E166" s="68">
        <v>75000000</v>
      </c>
      <c r="F166" s="52" t="s">
        <v>56</v>
      </c>
      <c r="G166" s="53">
        <v>40570.607499999998</v>
      </c>
      <c r="H166" s="52">
        <v>90</v>
      </c>
      <c r="I166" s="52" t="s">
        <v>68</v>
      </c>
      <c r="J166" s="52">
        <v>4</v>
      </c>
      <c r="K166" s="54">
        <v>40246</v>
      </c>
    </row>
    <row r="167" spans="1:11" x14ac:dyDescent="0.25">
      <c r="A167" s="55">
        <v>2.0699999999999998</v>
      </c>
      <c r="B167" s="56">
        <v>50947532</v>
      </c>
      <c r="C167" s="56">
        <v>32767</v>
      </c>
      <c r="D167" s="56">
        <v>1893664613</v>
      </c>
      <c r="E167" s="69">
        <v>65000000</v>
      </c>
      <c r="F167" s="56" t="s">
        <v>56</v>
      </c>
      <c r="G167" s="57">
        <v>40570.688460648147</v>
      </c>
      <c r="H167" s="56">
        <v>90</v>
      </c>
      <c r="I167" s="56" t="s">
        <v>63</v>
      </c>
      <c r="J167" s="56">
        <v>2</v>
      </c>
      <c r="K167" s="58">
        <v>40244</v>
      </c>
    </row>
    <row r="168" spans="1:11" x14ac:dyDescent="0.25">
      <c r="A168" s="51">
        <v>2.06</v>
      </c>
      <c r="B168" s="52">
        <v>26456549</v>
      </c>
      <c r="C168" s="52">
        <v>0</v>
      </c>
      <c r="D168" s="52">
        <v>1870882402</v>
      </c>
      <c r="E168" s="68">
        <v>50000000</v>
      </c>
      <c r="F168" s="52" t="s">
        <v>56</v>
      </c>
      <c r="G168" s="53">
        <v>40565.678518518522</v>
      </c>
      <c r="H168" s="52">
        <v>90</v>
      </c>
      <c r="I168" s="52" t="s">
        <v>64</v>
      </c>
      <c r="J168" s="52">
        <v>2</v>
      </c>
      <c r="K168" s="54">
        <v>40242</v>
      </c>
    </row>
    <row r="169" spans="1:11" x14ac:dyDescent="0.25">
      <c r="A169" s="55">
        <v>2.06</v>
      </c>
      <c r="B169" s="56">
        <v>172260</v>
      </c>
      <c r="C169" s="56">
        <v>1</v>
      </c>
      <c r="D169" s="56">
        <v>1890776245</v>
      </c>
      <c r="E169" s="69">
        <v>1500000</v>
      </c>
      <c r="F169" s="56" t="s">
        <v>56</v>
      </c>
      <c r="G169" s="57">
        <v>40566.37096064815</v>
      </c>
      <c r="H169" s="56">
        <v>90</v>
      </c>
      <c r="I169" s="56" t="s">
        <v>61</v>
      </c>
      <c r="J169" s="56">
        <v>3</v>
      </c>
      <c r="K169" s="58">
        <v>40240</v>
      </c>
    </row>
    <row r="170" spans="1:11" x14ac:dyDescent="0.25">
      <c r="A170" s="51">
        <v>2.06</v>
      </c>
      <c r="B170" s="52">
        <v>3315692</v>
      </c>
      <c r="C170" s="52">
        <v>2</v>
      </c>
      <c r="D170" s="52">
        <v>1890879393</v>
      </c>
      <c r="E170" s="68">
        <v>4700000</v>
      </c>
      <c r="F170" s="52" t="s">
        <v>56</v>
      </c>
      <c r="G170" s="53">
        <v>40566.442824074074</v>
      </c>
      <c r="H170" s="52">
        <v>90</v>
      </c>
      <c r="I170" s="52" t="s">
        <v>61</v>
      </c>
      <c r="J170" s="52">
        <v>3</v>
      </c>
      <c r="K170" s="54">
        <v>40238</v>
      </c>
    </row>
    <row r="171" spans="1:11" x14ac:dyDescent="0.25">
      <c r="A171" s="55">
        <v>2.06</v>
      </c>
      <c r="B171" s="56">
        <v>185536033</v>
      </c>
      <c r="C171" s="56">
        <v>0</v>
      </c>
      <c r="D171" s="56">
        <v>1892072870</v>
      </c>
      <c r="E171" s="69">
        <v>210000000</v>
      </c>
      <c r="F171" s="56" t="s">
        <v>56</v>
      </c>
      <c r="G171" s="57">
        <v>40567.072962962964</v>
      </c>
      <c r="H171" s="56">
        <v>30</v>
      </c>
      <c r="I171" s="56" t="s">
        <v>62</v>
      </c>
      <c r="J171" s="56">
        <v>3</v>
      </c>
      <c r="K171" s="58">
        <v>40236</v>
      </c>
    </row>
    <row r="172" spans="1:11" x14ac:dyDescent="0.25">
      <c r="A172" s="51">
        <v>2.06</v>
      </c>
      <c r="B172" s="52">
        <v>126577</v>
      </c>
      <c r="C172" s="52">
        <v>-1</v>
      </c>
      <c r="D172" s="52">
        <v>1892183258</v>
      </c>
      <c r="E172" s="68">
        <v>1000000</v>
      </c>
      <c r="F172" s="52" t="s">
        <v>56</v>
      </c>
      <c r="G172" s="53">
        <v>40567.154641203706</v>
      </c>
      <c r="H172" s="52">
        <v>7</v>
      </c>
      <c r="I172" s="52" t="s">
        <v>57</v>
      </c>
      <c r="J172" s="52">
        <v>7</v>
      </c>
      <c r="K172" s="54">
        <v>40234</v>
      </c>
    </row>
    <row r="173" spans="1:11" x14ac:dyDescent="0.25">
      <c r="A173" s="55">
        <v>2.0499999999999998</v>
      </c>
      <c r="B173" s="56">
        <v>1705450</v>
      </c>
      <c r="C173" s="56">
        <v>32767</v>
      </c>
      <c r="D173" s="56">
        <v>1895421261</v>
      </c>
      <c r="E173" s="69">
        <v>8000000</v>
      </c>
      <c r="F173" s="56" t="s">
        <v>56</v>
      </c>
      <c r="G173" s="57">
        <v>40569.931979166664</v>
      </c>
      <c r="H173" s="56">
        <v>90</v>
      </c>
      <c r="I173" s="56" t="s">
        <v>65</v>
      </c>
      <c r="J173" s="56">
        <v>5</v>
      </c>
      <c r="K173" s="58">
        <v>40232</v>
      </c>
    </row>
    <row r="174" spans="1:11" x14ac:dyDescent="0.25">
      <c r="A174" s="51">
        <v>2.04</v>
      </c>
      <c r="B174" s="52">
        <v>40017848</v>
      </c>
      <c r="C174" s="52">
        <v>0</v>
      </c>
      <c r="D174" s="52">
        <v>1882369620</v>
      </c>
      <c r="E174" s="68">
        <v>50000000</v>
      </c>
      <c r="F174" s="52" t="s">
        <v>56</v>
      </c>
      <c r="G174" s="53">
        <v>40559.440069444441</v>
      </c>
      <c r="H174" s="52">
        <v>90</v>
      </c>
      <c r="I174" s="52" t="s">
        <v>61</v>
      </c>
      <c r="J174" s="52">
        <v>4</v>
      </c>
      <c r="K174" s="54">
        <v>40230</v>
      </c>
    </row>
    <row r="175" spans="1:11" x14ac:dyDescent="0.25">
      <c r="A175" s="55">
        <v>2.04</v>
      </c>
      <c r="B175" s="56">
        <v>47585158</v>
      </c>
      <c r="C175" s="56">
        <v>5</v>
      </c>
      <c r="D175" s="56">
        <v>1888990912</v>
      </c>
      <c r="E175" s="69">
        <v>50000000</v>
      </c>
      <c r="F175" s="56" t="s">
        <v>56</v>
      </c>
      <c r="G175" s="57">
        <v>40569.735046296293</v>
      </c>
      <c r="H175" s="56">
        <v>90</v>
      </c>
      <c r="I175" s="56" t="s">
        <v>63</v>
      </c>
      <c r="J175" s="56">
        <v>4</v>
      </c>
      <c r="K175" s="58">
        <v>40228</v>
      </c>
    </row>
    <row r="176" spans="1:11" x14ac:dyDescent="0.25">
      <c r="A176" s="51">
        <v>2.0299</v>
      </c>
      <c r="B176" s="52">
        <v>19857860</v>
      </c>
      <c r="C176" s="52">
        <v>-1</v>
      </c>
      <c r="D176" s="52">
        <v>1865274374</v>
      </c>
      <c r="E176" s="68">
        <v>20000000</v>
      </c>
      <c r="F176" s="52" t="s">
        <v>56</v>
      </c>
      <c r="G176" s="53">
        <v>40549.290092592593</v>
      </c>
      <c r="H176" s="52">
        <v>90</v>
      </c>
      <c r="I176" s="52" t="s">
        <v>64</v>
      </c>
      <c r="J176" s="52">
        <v>2</v>
      </c>
      <c r="K176" s="54">
        <v>40226</v>
      </c>
    </row>
    <row r="177" spans="1:11" x14ac:dyDescent="0.25">
      <c r="A177" s="55">
        <v>2.0299</v>
      </c>
      <c r="B177" s="56">
        <v>361640378</v>
      </c>
      <c r="C177" s="56">
        <v>0</v>
      </c>
      <c r="D177" s="56">
        <v>1873013032</v>
      </c>
      <c r="E177" s="69">
        <v>400000000</v>
      </c>
      <c r="F177" s="56" t="s">
        <v>56</v>
      </c>
      <c r="G177" s="57">
        <v>40556.865405092591</v>
      </c>
      <c r="H177" s="56">
        <v>14</v>
      </c>
      <c r="I177" s="56" t="s">
        <v>64</v>
      </c>
      <c r="J177" s="56">
        <v>2</v>
      </c>
      <c r="K177" s="58">
        <v>40224</v>
      </c>
    </row>
    <row r="178" spans="1:11" x14ac:dyDescent="0.25">
      <c r="A178" s="51">
        <v>2.02</v>
      </c>
      <c r="B178" s="52">
        <v>653062</v>
      </c>
      <c r="C178" s="52">
        <v>-1</v>
      </c>
      <c r="D178" s="52">
        <v>1876668202</v>
      </c>
      <c r="E178" s="68">
        <v>50000000</v>
      </c>
      <c r="F178" s="52" t="s">
        <v>56</v>
      </c>
      <c r="G178" s="53">
        <v>40554.928912037038</v>
      </c>
      <c r="H178" s="52">
        <v>90</v>
      </c>
      <c r="I178" s="52" t="s">
        <v>57</v>
      </c>
      <c r="J178" s="52">
        <v>7</v>
      </c>
      <c r="K178" s="54">
        <v>40222</v>
      </c>
    </row>
    <row r="179" spans="1:11" x14ac:dyDescent="0.25">
      <c r="A179" s="55">
        <v>2.0099</v>
      </c>
      <c r="B179" s="56">
        <v>4407028</v>
      </c>
      <c r="C179" s="56">
        <v>-1</v>
      </c>
      <c r="D179" s="56">
        <v>1891798840</v>
      </c>
      <c r="E179" s="69">
        <v>9341299</v>
      </c>
      <c r="F179" s="56" t="s">
        <v>56</v>
      </c>
      <c r="G179" s="57">
        <v>40566.918935185182</v>
      </c>
      <c r="H179" s="56">
        <v>90</v>
      </c>
      <c r="I179" s="56" t="s">
        <v>60</v>
      </c>
      <c r="J179" s="56">
        <v>4</v>
      </c>
      <c r="K179" s="58">
        <v>40220</v>
      </c>
    </row>
    <row r="180" spans="1:11" x14ac:dyDescent="0.25">
      <c r="A180" s="51">
        <v>2.0099</v>
      </c>
      <c r="B180" s="52">
        <v>53444835</v>
      </c>
      <c r="C180" s="52">
        <v>3</v>
      </c>
      <c r="D180" s="52">
        <v>1892162949</v>
      </c>
      <c r="E180" s="68">
        <v>100000000</v>
      </c>
      <c r="F180" s="52" t="s">
        <v>56</v>
      </c>
      <c r="G180" s="53">
        <v>40567.138912037037</v>
      </c>
      <c r="H180" s="52">
        <v>90</v>
      </c>
      <c r="I180" s="52" t="s">
        <v>63</v>
      </c>
      <c r="J180" s="52">
        <v>2</v>
      </c>
      <c r="K180" s="54">
        <v>40218</v>
      </c>
    </row>
    <row r="181" spans="1:11" x14ac:dyDescent="0.25">
      <c r="A181" s="55">
        <v>2</v>
      </c>
      <c r="B181" s="56">
        <v>43661294</v>
      </c>
      <c r="C181" s="56">
        <v>2</v>
      </c>
      <c r="D181" s="56">
        <v>1881452462</v>
      </c>
      <c r="E181" s="69">
        <v>100000000</v>
      </c>
      <c r="F181" s="56" t="s">
        <v>56</v>
      </c>
      <c r="G181" s="57">
        <v>40558.809259259258</v>
      </c>
      <c r="H181" s="56">
        <v>90</v>
      </c>
      <c r="I181" s="56" t="s">
        <v>69</v>
      </c>
      <c r="J181" s="56">
        <v>6</v>
      </c>
      <c r="K181" s="58">
        <v>40216</v>
      </c>
    </row>
    <row r="182" spans="1:11" x14ac:dyDescent="0.25">
      <c r="A182" s="51">
        <v>2</v>
      </c>
      <c r="B182" s="52">
        <v>1000000</v>
      </c>
      <c r="C182" s="52">
        <v>0</v>
      </c>
      <c r="D182" s="52">
        <v>1883919217</v>
      </c>
      <c r="E182" s="68">
        <v>1000000</v>
      </c>
      <c r="F182" s="52" t="s">
        <v>56</v>
      </c>
      <c r="G182" s="53">
        <v>40560.575937499998</v>
      </c>
      <c r="H182" s="52">
        <v>90</v>
      </c>
      <c r="I182" s="52" t="s">
        <v>64</v>
      </c>
      <c r="J182" s="52">
        <v>2</v>
      </c>
      <c r="K182" s="54">
        <v>40214</v>
      </c>
    </row>
    <row r="183" spans="1:11" x14ac:dyDescent="0.25">
      <c r="A183" s="55">
        <v>2</v>
      </c>
      <c r="B183" s="56">
        <v>303932</v>
      </c>
      <c r="C183" s="56">
        <v>-1</v>
      </c>
      <c r="D183" s="56">
        <v>1831518518</v>
      </c>
      <c r="E183" s="69">
        <v>40000000</v>
      </c>
      <c r="F183" s="56" t="s">
        <v>56</v>
      </c>
      <c r="G183" s="57">
        <v>40562.578692129631</v>
      </c>
      <c r="H183" s="56">
        <v>90</v>
      </c>
      <c r="I183" s="56" t="s">
        <v>61</v>
      </c>
      <c r="J183" s="56">
        <v>3</v>
      </c>
      <c r="K183" s="58">
        <v>40212</v>
      </c>
    </row>
    <row r="184" spans="1:11" x14ac:dyDescent="0.25">
      <c r="A184" s="51">
        <v>1.99</v>
      </c>
      <c r="B184" s="52">
        <v>400000000</v>
      </c>
      <c r="C184" s="52">
        <v>-1</v>
      </c>
      <c r="D184" s="52">
        <v>1868316880</v>
      </c>
      <c r="E184" s="68">
        <v>400000000</v>
      </c>
      <c r="F184" s="52" t="s">
        <v>56</v>
      </c>
      <c r="G184" s="53">
        <v>40548.774282407408</v>
      </c>
      <c r="H184" s="52">
        <v>90</v>
      </c>
      <c r="I184" s="52" t="s">
        <v>68</v>
      </c>
      <c r="J184" s="52">
        <v>4</v>
      </c>
      <c r="K184" s="54">
        <v>40210</v>
      </c>
    </row>
    <row r="185" spans="1:11" x14ac:dyDescent="0.25">
      <c r="A185" s="55">
        <v>1.99</v>
      </c>
      <c r="B185" s="56">
        <v>29915047</v>
      </c>
      <c r="C185" s="56">
        <v>-1</v>
      </c>
      <c r="D185" s="56">
        <v>1878800043</v>
      </c>
      <c r="E185" s="69">
        <v>30000000</v>
      </c>
      <c r="F185" s="56" t="s">
        <v>56</v>
      </c>
      <c r="G185" s="57">
        <v>40556.771747685183</v>
      </c>
      <c r="H185" s="56">
        <v>90</v>
      </c>
      <c r="I185" s="56" t="s">
        <v>61</v>
      </c>
      <c r="J185" s="56">
        <v>3</v>
      </c>
      <c r="K185" s="58">
        <v>40208</v>
      </c>
    </row>
    <row r="186" spans="1:11" x14ac:dyDescent="0.25">
      <c r="A186" s="51">
        <v>1.98</v>
      </c>
      <c r="B186" s="52">
        <v>200000000</v>
      </c>
      <c r="C186" s="52">
        <v>-1</v>
      </c>
      <c r="D186" s="52">
        <v>1825177155</v>
      </c>
      <c r="E186" s="68">
        <v>200000000</v>
      </c>
      <c r="F186" s="52" t="s">
        <v>56</v>
      </c>
      <c r="G186" s="53">
        <v>40514.534872685188</v>
      </c>
      <c r="H186" s="52">
        <v>90</v>
      </c>
      <c r="I186" s="52" t="s">
        <v>68</v>
      </c>
      <c r="J186" s="52">
        <v>4</v>
      </c>
      <c r="K186" s="54">
        <v>40206</v>
      </c>
    </row>
    <row r="187" spans="1:11" x14ac:dyDescent="0.25">
      <c r="A187" s="55">
        <v>1.98</v>
      </c>
      <c r="B187" s="56">
        <v>336547266</v>
      </c>
      <c r="C187" s="56">
        <v>5</v>
      </c>
      <c r="D187" s="56">
        <v>1878238161</v>
      </c>
      <c r="E187" s="69">
        <v>400000000</v>
      </c>
      <c r="F187" s="56" t="s">
        <v>56</v>
      </c>
      <c r="G187" s="57">
        <v>40556.210925925923</v>
      </c>
      <c r="H187" s="56">
        <v>90</v>
      </c>
      <c r="I187" s="56" t="s">
        <v>61</v>
      </c>
      <c r="J187" s="56">
        <v>2</v>
      </c>
      <c r="K187" s="58">
        <v>40204</v>
      </c>
    </row>
    <row r="188" spans="1:11" x14ac:dyDescent="0.25">
      <c r="A188" s="51">
        <v>1.98</v>
      </c>
      <c r="B188" s="52">
        <v>1000000</v>
      </c>
      <c r="C188" s="52">
        <v>-1</v>
      </c>
      <c r="D188" s="52">
        <v>1889287160</v>
      </c>
      <c r="E188" s="68">
        <v>1000000</v>
      </c>
      <c r="F188" s="52" t="s">
        <v>56</v>
      </c>
      <c r="G188" s="53">
        <v>40565.45653935185</v>
      </c>
      <c r="H188" s="52">
        <v>30</v>
      </c>
      <c r="I188" s="52" t="s">
        <v>61</v>
      </c>
      <c r="J188" s="52">
        <v>2</v>
      </c>
      <c r="K188" s="54">
        <v>40202</v>
      </c>
    </row>
    <row r="189" spans="1:11" x14ac:dyDescent="0.25">
      <c r="A189" s="55">
        <v>1.97</v>
      </c>
      <c r="B189" s="56">
        <v>20000000</v>
      </c>
      <c r="C189" s="56">
        <v>-1</v>
      </c>
      <c r="D189" s="56">
        <v>1805288786</v>
      </c>
      <c r="E189" s="69">
        <v>20000000</v>
      </c>
      <c r="F189" s="56" t="s">
        <v>56</v>
      </c>
      <c r="G189" s="57">
        <v>40496.696250000001</v>
      </c>
      <c r="H189" s="56">
        <v>90</v>
      </c>
      <c r="I189" s="56" t="s">
        <v>68</v>
      </c>
      <c r="J189" s="56">
        <v>4</v>
      </c>
      <c r="K189" s="58">
        <v>40200</v>
      </c>
    </row>
    <row r="190" spans="1:11" x14ac:dyDescent="0.25">
      <c r="A190" s="51">
        <v>1.9</v>
      </c>
      <c r="B190" s="52">
        <v>90666931</v>
      </c>
      <c r="C190" s="52">
        <v>1</v>
      </c>
      <c r="D190" s="52">
        <v>1870083402</v>
      </c>
      <c r="E190" s="68">
        <v>110000000</v>
      </c>
      <c r="F190" s="52" t="s">
        <v>56</v>
      </c>
      <c r="G190" s="53">
        <v>40550.049212962964</v>
      </c>
      <c r="H190" s="52">
        <v>90</v>
      </c>
      <c r="I190" s="52" t="s">
        <v>61</v>
      </c>
      <c r="J190" s="52">
        <v>3</v>
      </c>
      <c r="K190" s="54">
        <v>40198</v>
      </c>
    </row>
    <row r="191" spans="1:11" x14ac:dyDescent="0.25">
      <c r="A191" s="55">
        <v>1.9</v>
      </c>
      <c r="B191" s="56">
        <v>100000000</v>
      </c>
      <c r="C191" s="56">
        <v>-1</v>
      </c>
      <c r="D191" s="56">
        <v>1872351643</v>
      </c>
      <c r="E191" s="69">
        <v>100000000</v>
      </c>
      <c r="F191" s="56" t="s">
        <v>56</v>
      </c>
      <c r="G191" s="57">
        <v>40551.786817129629</v>
      </c>
      <c r="H191" s="56">
        <v>90</v>
      </c>
      <c r="I191" s="56" t="s">
        <v>60</v>
      </c>
      <c r="J191" s="56">
        <v>3</v>
      </c>
      <c r="K191" s="58">
        <v>40196</v>
      </c>
    </row>
    <row r="192" spans="1:11" x14ac:dyDescent="0.25">
      <c r="A192" s="51">
        <v>1.9</v>
      </c>
      <c r="B192" s="52">
        <v>10000000</v>
      </c>
      <c r="C192" s="52">
        <v>-1</v>
      </c>
      <c r="D192" s="52">
        <v>1880860557</v>
      </c>
      <c r="E192" s="68">
        <v>10000000</v>
      </c>
      <c r="F192" s="52" t="s">
        <v>56</v>
      </c>
      <c r="G192" s="53">
        <v>40558.415925925925</v>
      </c>
      <c r="H192" s="52">
        <v>30</v>
      </c>
      <c r="I192" s="52" t="s">
        <v>66</v>
      </c>
      <c r="J192" s="52">
        <v>4</v>
      </c>
      <c r="K192" s="54">
        <v>40194</v>
      </c>
    </row>
    <row r="193" spans="1:11" x14ac:dyDescent="0.25">
      <c r="A193" s="55">
        <v>1.86</v>
      </c>
      <c r="B193" s="56">
        <v>500000000</v>
      </c>
      <c r="C193" s="56">
        <v>20</v>
      </c>
      <c r="D193" s="56">
        <v>1875974667</v>
      </c>
      <c r="E193" s="69">
        <v>500000000</v>
      </c>
      <c r="F193" s="56" t="s">
        <v>56</v>
      </c>
      <c r="G193" s="57">
        <v>40554.365682870368</v>
      </c>
      <c r="H193" s="56">
        <v>90</v>
      </c>
      <c r="I193" s="56" t="s">
        <v>64</v>
      </c>
      <c r="J193" s="56">
        <v>2</v>
      </c>
      <c r="K193" s="58">
        <v>40192</v>
      </c>
    </row>
    <row r="194" spans="1:11" x14ac:dyDescent="0.25">
      <c r="A194" s="51">
        <v>1.79</v>
      </c>
      <c r="B194" s="52">
        <v>4566957</v>
      </c>
      <c r="C194" s="52">
        <v>-1</v>
      </c>
      <c r="D194" s="52">
        <v>1790159889</v>
      </c>
      <c r="E194" s="68">
        <v>60000000</v>
      </c>
      <c r="F194" s="52" t="s">
        <v>56</v>
      </c>
      <c r="G194" s="53">
        <v>40482.269224537034</v>
      </c>
      <c r="H194" s="52">
        <v>90</v>
      </c>
      <c r="I194" s="52" t="s">
        <v>63</v>
      </c>
      <c r="J194" s="52">
        <v>5</v>
      </c>
      <c r="K194" s="54">
        <v>40190</v>
      </c>
    </row>
    <row r="195" spans="1:11" x14ac:dyDescent="0.25">
      <c r="A195" s="55">
        <v>1.72</v>
      </c>
      <c r="B195" s="56">
        <v>137831507</v>
      </c>
      <c r="C195" s="56">
        <v>5</v>
      </c>
      <c r="D195" s="56">
        <v>1856580532</v>
      </c>
      <c r="E195" s="69">
        <v>200000000</v>
      </c>
      <c r="F195" s="56" t="s">
        <v>56</v>
      </c>
      <c r="G195" s="57">
        <v>40542.301006944443</v>
      </c>
      <c r="H195" s="56">
        <v>90</v>
      </c>
      <c r="I195" s="56" t="s">
        <v>69</v>
      </c>
      <c r="J195" s="56">
        <v>6</v>
      </c>
      <c r="K195" s="58">
        <v>40188</v>
      </c>
    </row>
    <row r="196" spans="1:11" x14ac:dyDescent="0.25">
      <c r="A196" s="51">
        <v>1.72</v>
      </c>
      <c r="B196" s="52">
        <v>14352815</v>
      </c>
      <c r="C196" s="52">
        <v>3</v>
      </c>
      <c r="D196" s="52">
        <v>1866285351</v>
      </c>
      <c r="E196" s="68">
        <v>50000000</v>
      </c>
      <c r="F196" s="52" t="s">
        <v>56</v>
      </c>
      <c r="G196" s="53">
        <v>40547.094837962963</v>
      </c>
      <c r="H196" s="52">
        <v>90</v>
      </c>
      <c r="I196" s="52" t="s">
        <v>63</v>
      </c>
      <c r="J196" s="52">
        <v>2</v>
      </c>
      <c r="K196" s="54">
        <v>40186</v>
      </c>
    </row>
    <row r="197" spans="1:11" x14ac:dyDescent="0.25">
      <c r="A197" s="55">
        <v>1.7</v>
      </c>
      <c r="B197" s="56">
        <v>3999137</v>
      </c>
      <c r="C197" s="56">
        <v>-1</v>
      </c>
      <c r="D197" s="56">
        <v>1823822432</v>
      </c>
      <c r="E197" s="69">
        <v>4000000</v>
      </c>
      <c r="F197" s="56" t="s">
        <v>56</v>
      </c>
      <c r="G197" s="57">
        <v>40513.346724537034</v>
      </c>
      <c r="H197" s="56">
        <v>90</v>
      </c>
      <c r="I197" s="56" t="s">
        <v>65</v>
      </c>
      <c r="J197" s="56">
        <v>3</v>
      </c>
      <c r="K197" s="58">
        <v>40184</v>
      </c>
    </row>
    <row r="198" spans="1:11" x14ac:dyDescent="0.25">
      <c r="A198" s="51">
        <v>1.7</v>
      </c>
      <c r="B198" s="52">
        <v>10000000</v>
      </c>
      <c r="C198" s="52">
        <v>-1</v>
      </c>
      <c r="D198" s="52">
        <v>1896986477</v>
      </c>
      <c r="E198" s="68">
        <v>10000000</v>
      </c>
      <c r="F198" s="52" t="s">
        <v>56</v>
      </c>
      <c r="G198" s="53">
        <v>40570.894930555558</v>
      </c>
      <c r="H198" s="52">
        <v>7</v>
      </c>
      <c r="I198" s="52" t="s">
        <v>62</v>
      </c>
      <c r="J198" s="52">
        <v>2</v>
      </c>
      <c r="K198" s="54">
        <v>40182</v>
      </c>
    </row>
    <row r="199" spans="1:11" x14ac:dyDescent="0.25">
      <c r="A199" s="55">
        <v>1.69</v>
      </c>
      <c r="B199" s="56">
        <v>7335332</v>
      </c>
      <c r="C199" s="56">
        <v>4</v>
      </c>
      <c r="D199" s="56">
        <v>1857402900</v>
      </c>
      <c r="E199" s="69">
        <v>20000000</v>
      </c>
      <c r="F199" s="56" t="s">
        <v>56</v>
      </c>
      <c r="G199" s="57">
        <v>40540.382164351853</v>
      </c>
      <c r="H199" s="56">
        <v>90</v>
      </c>
      <c r="I199" s="56" t="s">
        <v>67</v>
      </c>
      <c r="J199" s="56">
        <v>6</v>
      </c>
      <c r="K199" s="58">
        <v>40180</v>
      </c>
    </row>
    <row r="200" spans="1:11" x14ac:dyDescent="0.25">
      <c r="A200" s="51">
        <v>1.64</v>
      </c>
      <c r="B200" s="52">
        <v>93351347</v>
      </c>
      <c r="C200" s="52">
        <v>2</v>
      </c>
      <c r="D200" s="52">
        <v>1875691547</v>
      </c>
      <c r="E200" s="68">
        <v>100000000</v>
      </c>
      <c r="F200" s="52" t="s">
        <v>56</v>
      </c>
      <c r="G200" s="53">
        <v>40561.118634259263</v>
      </c>
      <c r="H200" s="52">
        <v>90</v>
      </c>
      <c r="I200" s="52" t="s">
        <v>63</v>
      </c>
      <c r="J200" s="52">
        <v>9</v>
      </c>
      <c r="K200" s="54">
        <v>40178</v>
      </c>
    </row>
    <row r="201" spans="1:11" x14ac:dyDescent="0.25">
      <c r="A201" s="55">
        <v>1.54</v>
      </c>
      <c r="B201" s="56">
        <v>9533298</v>
      </c>
      <c r="C201" s="56">
        <v>32767</v>
      </c>
      <c r="D201" s="56">
        <v>1884589882</v>
      </c>
      <c r="E201" s="69">
        <v>10000000</v>
      </c>
      <c r="F201" s="56" t="s">
        <v>56</v>
      </c>
      <c r="G201" s="57">
        <v>40560.978750000002</v>
      </c>
      <c r="H201" s="56">
        <v>30</v>
      </c>
      <c r="I201" s="56" t="s">
        <v>61</v>
      </c>
      <c r="J201" s="56">
        <v>3</v>
      </c>
      <c r="K201" s="58">
        <v>40176</v>
      </c>
    </row>
    <row r="202" spans="1:11" x14ac:dyDescent="0.25">
      <c r="A202" s="51">
        <v>1.53</v>
      </c>
      <c r="B202" s="52">
        <v>500000000</v>
      </c>
      <c r="C202" s="52">
        <v>32767</v>
      </c>
      <c r="D202" s="52">
        <v>1868004571</v>
      </c>
      <c r="E202" s="68">
        <v>500000000</v>
      </c>
      <c r="F202" s="52" t="s">
        <v>56</v>
      </c>
      <c r="G202" s="53">
        <v>40548.546956018516</v>
      </c>
      <c r="H202" s="52">
        <v>90</v>
      </c>
      <c r="I202" s="52" t="s">
        <v>57</v>
      </c>
      <c r="J202" s="52">
        <v>1</v>
      </c>
      <c r="K202" s="54">
        <v>40174</v>
      </c>
    </row>
    <row r="203" spans="1:11" x14ac:dyDescent="0.25">
      <c r="A203" s="55">
        <v>1.52</v>
      </c>
      <c r="B203" s="56">
        <v>393902550</v>
      </c>
      <c r="C203" s="56">
        <v>32767</v>
      </c>
      <c r="D203" s="56">
        <v>1744626360</v>
      </c>
      <c r="E203" s="69">
        <v>400000000</v>
      </c>
      <c r="F203" s="56" t="s">
        <v>56</v>
      </c>
      <c r="G203" s="57">
        <v>40525.626388888886</v>
      </c>
      <c r="H203" s="56">
        <v>90</v>
      </c>
      <c r="I203" s="56" t="s">
        <v>64</v>
      </c>
      <c r="J203" s="56">
        <v>2</v>
      </c>
      <c r="K203" s="58">
        <v>40172</v>
      </c>
    </row>
    <row r="204" spans="1:11" x14ac:dyDescent="0.25">
      <c r="A204" s="51">
        <v>1.5</v>
      </c>
      <c r="B204" s="52">
        <v>100000</v>
      </c>
      <c r="C204" s="52">
        <v>20</v>
      </c>
      <c r="D204" s="52">
        <v>1826530229</v>
      </c>
      <c r="E204" s="68">
        <v>100000</v>
      </c>
      <c r="F204" s="52" t="s">
        <v>56</v>
      </c>
      <c r="G204" s="53">
        <v>40515.660844907405</v>
      </c>
      <c r="H204" s="52">
        <v>90</v>
      </c>
      <c r="I204" s="52" t="s">
        <v>61</v>
      </c>
      <c r="J204" s="52">
        <v>3</v>
      </c>
      <c r="K204" s="54">
        <v>40170</v>
      </c>
    </row>
    <row r="205" spans="1:11" x14ac:dyDescent="0.25">
      <c r="A205" s="55">
        <v>1.5</v>
      </c>
      <c r="B205" s="56">
        <v>1000000</v>
      </c>
      <c r="C205" s="56">
        <v>-1</v>
      </c>
      <c r="D205" s="56">
        <v>1890506520</v>
      </c>
      <c r="E205" s="69">
        <v>1000000</v>
      </c>
      <c r="F205" s="56" t="s">
        <v>56</v>
      </c>
      <c r="G205" s="57">
        <v>40566.149050925924</v>
      </c>
      <c r="H205" s="56">
        <v>90</v>
      </c>
      <c r="I205" s="56" t="s">
        <v>68</v>
      </c>
      <c r="J205" s="56">
        <v>6</v>
      </c>
      <c r="K205" s="58">
        <v>40168</v>
      </c>
    </row>
    <row r="206" spans="1:11" x14ac:dyDescent="0.25">
      <c r="A206" s="51">
        <v>1</v>
      </c>
      <c r="B206" s="52">
        <v>19693614</v>
      </c>
      <c r="C206" s="52">
        <v>1</v>
      </c>
      <c r="D206" s="52">
        <v>1867930670</v>
      </c>
      <c r="E206" s="68">
        <v>20000000</v>
      </c>
      <c r="F206" s="52" t="s">
        <v>56</v>
      </c>
      <c r="G206" s="53">
        <v>40566.588414351849</v>
      </c>
      <c r="H206" s="52">
        <v>90</v>
      </c>
      <c r="I206" s="52" t="s">
        <v>63</v>
      </c>
      <c r="J206" s="52">
        <v>2</v>
      </c>
      <c r="K206" s="54">
        <v>40166</v>
      </c>
    </row>
    <row r="207" spans="1:11" x14ac:dyDescent="0.25">
      <c r="A207" s="59">
        <v>0.08</v>
      </c>
      <c r="B207" s="60">
        <v>154064567</v>
      </c>
      <c r="C207" s="60">
        <v>20</v>
      </c>
      <c r="D207" s="60">
        <v>1709322587</v>
      </c>
      <c r="E207" s="70">
        <v>200000000</v>
      </c>
      <c r="F207" s="60" t="s">
        <v>56</v>
      </c>
      <c r="G207" s="61">
        <v>40532.408321759256</v>
      </c>
      <c r="H207" s="60">
        <v>90</v>
      </c>
      <c r="I207" s="60" t="s">
        <v>63</v>
      </c>
      <c r="J207" s="60">
        <v>2</v>
      </c>
      <c r="K207" s="62">
        <v>40164</v>
      </c>
    </row>
  </sheetData>
  <autoFilter ref="A1:K207"/>
  <conditionalFormatting sqref="K1:K1048576">
    <cfRule type="duplicateValues" dxfId="4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62"/>
  <sheetViews>
    <sheetView workbookViewId="0">
      <pane ySplit="1" topLeftCell="A2" activePane="bottomLeft" state="frozen"/>
      <selection pane="bottomLeft" activeCell="A2" sqref="A2"/>
    </sheetView>
  </sheetViews>
  <sheetFormatPr defaultRowHeight="15" outlineLevelRow="3" x14ac:dyDescent="0.25"/>
  <cols>
    <col min="1" max="1" width="16" bestFit="1" customWidth="1"/>
    <col min="2" max="2" width="9.140625" bestFit="1" customWidth="1"/>
    <col min="3" max="3" width="10.85546875" style="78" bestFit="1" customWidth="1"/>
    <col min="4" max="4" width="8.7109375" style="78" bestFit="1" customWidth="1"/>
  </cols>
  <sheetData>
    <row r="1" spans="1:12" x14ac:dyDescent="0.25">
      <c r="A1" s="71" t="s">
        <v>93</v>
      </c>
      <c r="B1" s="71" t="s">
        <v>94</v>
      </c>
      <c r="C1" s="72" t="s">
        <v>95</v>
      </c>
      <c r="D1" s="73" t="s">
        <v>96</v>
      </c>
    </row>
    <row r="2" spans="1:12" outlineLevel="3" x14ac:dyDescent="0.25">
      <c r="A2" s="85" t="s">
        <v>61</v>
      </c>
      <c r="B2" s="52" t="s">
        <v>56</v>
      </c>
      <c r="C2" s="74">
        <v>7</v>
      </c>
      <c r="D2" s="75">
        <v>6</v>
      </c>
    </row>
    <row r="3" spans="1:12" outlineLevel="3" x14ac:dyDescent="0.25">
      <c r="A3" s="56" t="s">
        <v>61</v>
      </c>
      <c r="B3" s="56" t="s">
        <v>56</v>
      </c>
      <c r="C3" s="76">
        <v>90</v>
      </c>
      <c r="D3" s="77">
        <v>4</v>
      </c>
    </row>
    <row r="4" spans="1:12" outlineLevel="2" x14ac:dyDescent="0.25">
      <c r="A4" s="56"/>
      <c r="B4" s="86" t="s">
        <v>97</v>
      </c>
      <c r="C4" s="76"/>
      <c r="D4" s="77">
        <f>SUBTOTAL(3,D2:D3)</f>
        <v>2</v>
      </c>
    </row>
    <row r="5" spans="1:12" outlineLevel="3" x14ac:dyDescent="0.25">
      <c r="A5" s="52" t="s">
        <v>61</v>
      </c>
      <c r="B5" s="85" t="s">
        <v>55</v>
      </c>
      <c r="C5" s="74">
        <v>30</v>
      </c>
      <c r="D5" s="75">
        <v>4</v>
      </c>
    </row>
    <row r="6" spans="1:12" outlineLevel="3" x14ac:dyDescent="0.25">
      <c r="A6" s="56" t="s">
        <v>61</v>
      </c>
      <c r="B6" s="56" t="s">
        <v>55</v>
      </c>
      <c r="C6" s="76">
        <v>30</v>
      </c>
      <c r="D6" s="77">
        <v>4</v>
      </c>
      <c r="L6" s="48"/>
    </row>
    <row r="7" spans="1:12" outlineLevel="3" x14ac:dyDescent="0.25">
      <c r="A7" s="52" t="s">
        <v>61</v>
      </c>
      <c r="B7" s="85" t="s">
        <v>55</v>
      </c>
      <c r="C7" s="74">
        <v>90</v>
      </c>
      <c r="D7" s="75">
        <v>4</v>
      </c>
      <c r="L7" s="48"/>
    </row>
    <row r="8" spans="1:12" outlineLevel="2" x14ac:dyDescent="0.25">
      <c r="A8" s="52"/>
      <c r="B8" s="80" t="s">
        <v>98</v>
      </c>
      <c r="C8" s="74"/>
      <c r="D8" s="75">
        <f>SUBTOTAL(3,D5:D7)</f>
        <v>3</v>
      </c>
      <c r="L8" s="48"/>
    </row>
    <row r="9" spans="1:12" outlineLevel="1" x14ac:dyDescent="0.25">
      <c r="A9" s="79" t="s">
        <v>79</v>
      </c>
      <c r="B9" s="85"/>
      <c r="C9" s="74"/>
      <c r="D9" s="75">
        <f>SUBTOTAL(9,D2:D7)</f>
        <v>22</v>
      </c>
      <c r="L9" s="48"/>
    </row>
    <row r="10" spans="1:12" outlineLevel="3" x14ac:dyDescent="0.25">
      <c r="A10" s="52" t="s">
        <v>64</v>
      </c>
      <c r="B10" s="52" t="s">
        <v>56</v>
      </c>
      <c r="C10" s="74">
        <v>14</v>
      </c>
      <c r="D10" s="75">
        <v>2</v>
      </c>
      <c r="L10" s="48"/>
    </row>
    <row r="11" spans="1:12" outlineLevel="3" x14ac:dyDescent="0.25">
      <c r="A11" s="56" t="s">
        <v>64</v>
      </c>
      <c r="B11" s="56" t="s">
        <v>56</v>
      </c>
      <c r="C11" s="76">
        <v>90</v>
      </c>
      <c r="D11" s="77">
        <v>5</v>
      </c>
      <c r="L11" s="48"/>
    </row>
    <row r="12" spans="1:12" outlineLevel="3" x14ac:dyDescent="0.25">
      <c r="A12" s="52" t="s">
        <v>64</v>
      </c>
      <c r="B12" s="52" t="s">
        <v>56</v>
      </c>
      <c r="C12" s="74">
        <v>14</v>
      </c>
      <c r="D12" s="75">
        <v>2</v>
      </c>
      <c r="L12" s="48"/>
    </row>
    <row r="13" spans="1:12" outlineLevel="2" x14ac:dyDescent="0.25">
      <c r="A13" s="52"/>
      <c r="B13" s="80" t="s">
        <v>97</v>
      </c>
      <c r="C13" s="74"/>
      <c r="D13" s="75">
        <f>SUBTOTAL(3,D10:D12)</f>
        <v>3</v>
      </c>
      <c r="L13" s="48"/>
    </row>
    <row r="14" spans="1:12" outlineLevel="3" x14ac:dyDescent="0.25">
      <c r="A14" s="56" t="s">
        <v>64</v>
      </c>
      <c r="B14" s="56" t="s">
        <v>55</v>
      </c>
      <c r="C14" s="76">
        <v>90</v>
      </c>
      <c r="D14" s="77">
        <v>2</v>
      </c>
      <c r="L14" s="48"/>
    </row>
    <row r="15" spans="1:12" outlineLevel="3" x14ac:dyDescent="0.25">
      <c r="A15" s="52" t="s">
        <v>64</v>
      </c>
      <c r="B15" s="52" t="s">
        <v>55</v>
      </c>
      <c r="C15" s="74">
        <v>90</v>
      </c>
      <c r="D15" s="75">
        <v>2</v>
      </c>
      <c r="L15" s="48"/>
    </row>
    <row r="16" spans="1:12" outlineLevel="2" x14ac:dyDescent="0.25">
      <c r="A16" s="52"/>
      <c r="B16" s="80" t="s">
        <v>98</v>
      </c>
      <c r="C16" s="74"/>
      <c r="D16" s="75">
        <f>SUBTOTAL(3,D14:D15)</f>
        <v>2</v>
      </c>
      <c r="L16" s="48"/>
    </row>
    <row r="17" spans="1:12" outlineLevel="1" x14ac:dyDescent="0.25">
      <c r="A17" s="80" t="s">
        <v>80</v>
      </c>
      <c r="B17" s="52"/>
      <c r="C17" s="74"/>
      <c r="D17" s="75">
        <f>SUBTOTAL(9,D10:D15)</f>
        <v>13</v>
      </c>
      <c r="L17" s="48"/>
    </row>
    <row r="18" spans="1:12" outlineLevel="3" x14ac:dyDescent="0.25">
      <c r="A18" s="52" t="s">
        <v>59</v>
      </c>
      <c r="B18" s="52" t="s">
        <v>56</v>
      </c>
      <c r="C18" s="74">
        <v>90</v>
      </c>
      <c r="D18" s="75">
        <v>8</v>
      </c>
      <c r="L18" s="48"/>
    </row>
    <row r="19" spans="1:12" outlineLevel="3" x14ac:dyDescent="0.25">
      <c r="A19" s="56" t="s">
        <v>59</v>
      </c>
      <c r="B19" s="56" t="s">
        <v>56</v>
      </c>
      <c r="C19" s="76">
        <v>30</v>
      </c>
      <c r="D19" s="77">
        <v>3</v>
      </c>
      <c r="L19" s="48"/>
    </row>
    <row r="20" spans="1:12" outlineLevel="2" x14ac:dyDescent="0.25">
      <c r="A20" s="56"/>
      <c r="B20" s="81" t="s">
        <v>97</v>
      </c>
      <c r="C20" s="76"/>
      <c r="D20" s="77">
        <f>SUBTOTAL(3,D18:D19)</f>
        <v>2</v>
      </c>
      <c r="L20" s="48"/>
    </row>
    <row r="21" spans="1:12" outlineLevel="3" x14ac:dyDescent="0.25">
      <c r="A21" s="52" t="s">
        <v>59</v>
      </c>
      <c r="B21" s="52" t="s">
        <v>55</v>
      </c>
      <c r="C21" s="74">
        <v>14</v>
      </c>
      <c r="D21" s="75">
        <v>5</v>
      </c>
      <c r="L21" s="48"/>
    </row>
    <row r="22" spans="1:12" outlineLevel="2" x14ac:dyDescent="0.25">
      <c r="A22" s="52"/>
      <c r="B22" s="80" t="s">
        <v>98</v>
      </c>
      <c r="C22" s="74"/>
      <c r="D22" s="75">
        <f>SUBTOTAL(3,D21:D21)</f>
        <v>1</v>
      </c>
      <c r="L22" s="48"/>
    </row>
    <row r="23" spans="1:12" outlineLevel="1" x14ac:dyDescent="0.25">
      <c r="A23" s="80" t="s">
        <v>81</v>
      </c>
      <c r="B23" s="52"/>
      <c r="C23" s="74"/>
      <c r="D23" s="75">
        <f>SUBTOTAL(9,D18:D21)</f>
        <v>16</v>
      </c>
      <c r="L23" s="48"/>
    </row>
    <row r="24" spans="1:12" outlineLevel="3" x14ac:dyDescent="0.25">
      <c r="A24" s="52" t="s">
        <v>60</v>
      </c>
      <c r="B24" s="52" t="s">
        <v>56</v>
      </c>
      <c r="C24" s="74">
        <v>90</v>
      </c>
      <c r="D24" s="75">
        <v>6</v>
      </c>
      <c r="L24" s="48"/>
    </row>
    <row r="25" spans="1:12" outlineLevel="3" x14ac:dyDescent="0.25">
      <c r="A25" s="56" t="s">
        <v>60</v>
      </c>
      <c r="B25" s="56" t="s">
        <v>56</v>
      </c>
      <c r="C25" s="76">
        <v>90</v>
      </c>
      <c r="D25" s="77">
        <v>3</v>
      </c>
      <c r="L25" s="48"/>
    </row>
    <row r="26" spans="1:12" outlineLevel="3" x14ac:dyDescent="0.25">
      <c r="A26" s="52" t="s">
        <v>60</v>
      </c>
      <c r="B26" s="52" t="s">
        <v>56</v>
      </c>
      <c r="C26" s="74">
        <v>90</v>
      </c>
      <c r="D26" s="75">
        <v>4</v>
      </c>
      <c r="L26" s="48"/>
    </row>
    <row r="27" spans="1:12" outlineLevel="3" x14ac:dyDescent="0.25">
      <c r="A27" s="56" t="s">
        <v>60</v>
      </c>
      <c r="B27" s="56" t="s">
        <v>56</v>
      </c>
      <c r="C27" s="76">
        <v>90</v>
      </c>
      <c r="D27" s="77">
        <v>3</v>
      </c>
      <c r="L27" s="48"/>
    </row>
    <row r="28" spans="1:12" outlineLevel="2" x14ac:dyDescent="0.25">
      <c r="A28" s="56"/>
      <c r="B28" s="81" t="s">
        <v>97</v>
      </c>
      <c r="C28" s="76"/>
      <c r="D28" s="77">
        <f>SUBTOTAL(3,D24:D27)</f>
        <v>4</v>
      </c>
      <c r="L28" s="48"/>
    </row>
    <row r="29" spans="1:12" outlineLevel="3" x14ac:dyDescent="0.25">
      <c r="A29" s="52" t="s">
        <v>60</v>
      </c>
      <c r="B29" s="52" t="s">
        <v>55</v>
      </c>
      <c r="C29" s="74">
        <v>90</v>
      </c>
      <c r="D29" s="75">
        <v>6</v>
      </c>
      <c r="L29" s="48"/>
    </row>
    <row r="30" spans="1:12" outlineLevel="3" x14ac:dyDescent="0.25">
      <c r="A30" s="56" t="s">
        <v>60</v>
      </c>
      <c r="B30" s="56" t="s">
        <v>55</v>
      </c>
      <c r="C30" s="76">
        <v>90</v>
      </c>
      <c r="D30" s="77">
        <v>6</v>
      </c>
      <c r="L30" s="48"/>
    </row>
    <row r="31" spans="1:12" outlineLevel="3" x14ac:dyDescent="0.25">
      <c r="A31" s="52" t="s">
        <v>60</v>
      </c>
      <c r="B31" s="52" t="s">
        <v>55</v>
      </c>
      <c r="C31" s="74">
        <v>90</v>
      </c>
      <c r="D31" s="75">
        <v>6</v>
      </c>
      <c r="L31" s="48"/>
    </row>
    <row r="32" spans="1:12" outlineLevel="3" x14ac:dyDescent="0.25">
      <c r="A32" s="56" t="s">
        <v>60</v>
      </c>
      <c r="B32" s="56" t="s">
        <v>55</v>
      </c>
      <c r="C32" s="76">
        <v>90</v>
      </c>
      <c r="D32" s="77">
        <v>6</v>
      </c>
      <c r="L32" s="48"/>
    </row>
    <row r="33" spans="1:12" outlineLevel="3" x14ac:dyDescent="0.25">
      <c r="A33" s="52" t="s">
        <v>60</v>
      </c>
      <c r="B33" s="52" t="s">
        <v>55</v>
      </c>
      <c r="C33" s="74">
        <v>1</v>
      </c>
      <c r="D33" s="75">
        <v>3</v>
      </c>
      <c r="L33" s="48"/>
    </row>
    <row r="34" spans="1:12" outlineLevel="3" x14ac:dyDescent="0.25">
      <c r="A34" s="56" t="s">
        <v>60</v>
      </c>
      <c r="B34" s="56" t="s">
        <v>55</v>
      </c>
      <c r="C34" s="76">
        <v>90</v>
      </c>
      <c r="D34" s="77">
        <v>6</v>
      </c>
      <c r="L34" s="48"/>
    </row>
    <row r="35" spans="1:12" outlineLevel="2" x14ac:dyDescent="0.25">
      <c r="A35" s="56"/>
      <c r="B35" s="81" t="s">
        <v>98</v>
      </c>
      <c r="C35" s="76"/>
      <c r="D35" s="77">
        <f>SUBTOTAL(3,D29:D34)</f>
        <v>6</v>
      </c>
      <c r="L35" s="48"/>
    </row>
    <row r="36" spans="1:12" outlineLevel="1" x14ac:dyDescent="0.25">
      <c r="A36" s="81" t="s">
        <v>82</v>
      </c>
      <c r="B36" s="56"/>
      <c r="C36" s="76"/>
      <c r="D36" s="77">
        <f>SUBTOTAL(9,D24:D34)</f>
        <v>49</v>
      </c>
      <c r="L36" s="48"/>
    </row>
    <row r="37" spans="1:12" outlineLevel="3" x14ac:dyDescent="0.25">
      <c r="A37" s="52" t="s">
        <v>58</v>
      </c>
      <c r="B37" s="52" t="s">
        <v>56</v>
      </c>
      <c r="C37" s="74">
        <v>7</v>
      </c>
      <c r="D37" s="75">
        <v>6</v>
      </c>
      <c r="L37" s="48"/>
    </row>
    <row r="38" spans="1:12" outlineLevel="3" x14ac:dyDescent="0.25">
      <c r="A38" s="56" t="s">
        <v>58</v>
      </c>
      <c r="B38" s="56" t="s">
        <v>56</v>
      </c>
      <c r="C38" s="76">
        <v>3</v>
      </c>
      <c r="D38" s="77">
        <v>6</v>
      </c>
      <c r="L38" s="48"/>
    </row>
    <row r="39" spans="1:12" outlineLevel="3" x14ac:dyDescent="0.25">
      <c r="A39" s="52" t="s">
        <v>58</v>
      </c>
      <c r="B39" s="52" t="s">
        <v>56</v>
      </c>
      <c r="C39" s="74">
        <v>90</v>
      </c>
      <c r="D39" s="75">
        <v>6</v>
      </c>
      <c r="L39" s="48"/>
    </row>
    <row r="40" spans="1:12" outlineLevel="3" x14ac:dyDescent="0.25">
      <c r="A40" s="56" t="s">
        <v>58</v>
      </c>
      <c r="B40" s="56" t="s">
        <v>56</v>
      </c>
      <c r="C40" s="76">
        <v>14</v>
      </c>
      <c r="D40" s="77">
        <v>11</v>
      </c>
      <c r="L40" s="48"/>
    </row>
    <row r="41" spans="1:12" outlineLevel="2" x14ac:dyDescent="0.25">
      <c r="A41" s="56"/>
      <c r="B41" s="81" t="s">
        <v>97</v>
      </c>
      <c r="C41" s="76"/>
      <c r="D41" s="77">
        <f>SUBTOTAL(3,D37:D40)</f>
        <v>4</v>
      </c>
      <c r="L41" s="48"/>
    </row>
    <row r="42" spans="1:12" outlineLevel="3" x14ac:dyDescent="0.25">
      <c r="A42" s="52" t="s">
        <v>58</v>
      </c>
      <c r="B42" s="52" t="s">
        <v>55</v>
      </c>
      <c r="C42" s="74">
        <v>30</v>
      </c>
      <c r="D42" s="75">
        <v>6</v>
      </c>
      <c r="L42" s="48"/>
    </row>
    <row r="43" spans="1:12" outlineLevel="3" x14ac:dyDescent="0.25">
      <c r="A43" s="56" t="s">
        <v>58</v>
      </c>
      <c r="B43" s="56" t="s">
        <v>55</v>
      </c>
      <c r="C43" s="76">
        <v>90</v>
      </c>
      <c r="D43" s="77">
        <v>6</v>
      </c>
      <c r="L43" s="48"/>
    </row>
    <row r="44" spans="1:12" outlineLevel="3" x14ac:dyDescent="0.25">
      <c r="A44" s="52" t="s">
        <v>58</v>
      </c>
      <c r="B44" s="52" t="s">
        <v>55</v>
      </c>
      <c r="C44" s="74">
        <v>90</v>
      </c>
      <c r="D44" s="75">
        <v>7</v>
      </c>
      <c r="L44" s="48"/>
    </row>
    <row r="45" spans="1:12" outlineLevel="2" x14ac:dyDescent="0.25">
      <c r="A45" s="52"/>
      <c r="B45" s="80" t="s">
        <v>98</v>
      </c>
      <c r="C45" s="74"/>
      <c r="D45" s="75">
        <f>SUBTOTAL(3,D42:D44)</f>
        <v>3</v>
      </c>
      <c r="L45" s="48"/>
    </row>
    <row r="46" spans="1:12" outlineLevel="1" x14ac:dyDescent="0.25">
      <c r="A46" s="80" t="s">
        <v>83</v>
      </c>
      <c r="B46" s="52"/>
      <c r="C46" s="74"/>
      <c r="D46" s="75">
        <f>SUBTOTAL(9,D37:D44)</f>
        <v>48</v>
      </c>
      <c r="L46" s="48"/>
    </row>
    <row r="47" spans="1:12" outlineLevel="3" x14ac:dyDescent="0.25">
      <c r="A47" s="52" t="s">
        <v>67</v>
      </c>
      <c r="B47" s="52" t="s">
        <v>56</v>
      </c>
      <c r="C47" s="74">
        <v>30</v>
      </c>
      <c r="D47" s="75">
        <v>7</v>
      </c>
      <c r="L47" s="48"/>
    </row>
    <row r="48" spans="1:12" outlineLevel="3" x14ac:dyDescent="0.25">
      <c r="A48" s="56" t="s">
        <v>67</v>
      </c>
      <c r="B48" s="56" t="s">
        <v>56</v>
      </c>
      <c r="C48" s="76">
        <v>90</v>
      </c>
      <c r="D48" s="77">
        <v>6</v>
      </c>
      <c r="L48" s="48"/>
    </row>
    <row r="49" spans="1:12" outlineLevel="3" x14ac:dyDescent="0.25">
      <c r="A49" s="52" t="s">
        <v>67</v>
      </c>
      <c r="B49" s="52" t="s">
        <v>56</v>
      </c>
      <c r="C49" s="74">
        <v>90</v>
      </c>
      <c r="D49" s="75">
        <v>5</v>
      </c>
      <c r="L49" s="48"/>
    </row>
    <row r="50" spans="1:12" outlineLevel="3" x14ac:dyDescent="0.25">
      <c r="A50" s="56" t="s">
        <v>67</v>
      </c>
      <c r="B50" s="56" t="s">
        <v>56</v>
      </c>
      <c r="C50" s="76">
        <v>90</v>
      </c>
      <c r="D50" s="77">
        <v>5</v>
      </c>
      <c r="L50" s="48"/>
    </row>
    <row r="51" spans="1:12" outlineLevel="3" x14ac:dyDescent="0.25">
      <c r="A51" s="52" t="s">
        <v>67</v>
      </c>
      <c r="B51" s="52" t="s">
        <v>56</v>
      </c>
      <c r="C51" s="74">
        <v>90</v>
      </c>
      <c r="D51" s="75">
        <v>5</v>
      </c>
      <c r="L51" s="48"/>
    </row>
    <row r="52" spans="1:12" outlineLevel="3" x14ac:dyDescent="0.25">
      <c r="A52" s="56" t="s">
        <v>67</v>
      </c>
      <c r="B52" s="56" t="s">
        <v>56</v>
      </c>
      <c r="C52" s="76">
        <v>90</v>
      </c>
      <c r="D52" s="77">
        <v>6</v>
      </c>
      <c r="L52" s="48"/>
    </row>
    <row r="53" spans="1:12" outlineLevel="2" x14ac:dyDescent="0.25">
      <c r="A53" s="56"/>
      <c r="B53" s="81" t="s">
        <v>97</v>
      </c>
      <c r="C53" s="76"/>
      <c r="D53" s="77">
        <f>SUBTOTAL(3,D47:D52)</f>
        <v>6</v>
      </c>
      <c r="L53" s="48"/>
    </row>
    <row r="54" spans="1:12" outlineLevel="3" x14ac:dyDescent="0.25">
      <c r="A54" s="52" t="s">
        <v>67</v>
      </c>
      <c r="B54" s="52" t="s">
        <v>55</v>
      </c>
      <c r="C54" s="74">
        <v>90</v>
      </c>
      <c r="D54" s="75">
        <v>5</v>
      </c>
      <c r="L54" s="48"/>
    </row>
    <row r="55" spans="1:12" outlineLevel="3" x14ac:dyDescent="0.25">
      <c r="A55" s="56" t="s">
        <v>67</v>
      </c>
      <c r="B55" s="56" t="s">
        <v>55</v>
      </c>
      <c r="C55" s="76">
        <v>90</v>
      </c>
      <c r="D55" s="77">
        <v>5</v>
      </c>
      <c r="L55" s="48"/>
    </row>
    <row r="56" spans="1:12" outlineLevel="3" x14ac:dyDescent="0.25">
      <c r="A56" s="52" t="s">
        <v>67</v>
      </c>
      <c r="B56" s="52" t="s">
        <v>55</v>
      </c>
      <c r="C56" s="74">
        <v>14</v>
      </c>
      <c r="D56" s="75">
        <v>6</v>
      </c>
      <c r="L56" s="48"/>
    </row>
    <row r="57" spans="1:12" outlineLevel="3" x14ac:dyDescent="0.25">
      <c r="A57" s="56" t="s">
        <v>67</v>
      </c>
      <c r="B57" s="56" t="s">
        <v>55</v>
      </c>
      <c r="C57" s="76">
        <v>90</v>
      </c>
      <c r="D57" s="77">
        <v>5</v>
      </c>
      <c r="L57" s="48"/>
    </row>
    <row r="58" spans="1:12" outlineLevel="3" x14ac:dyDescent="0.25">
      <c r="A58" s="52" t="s">
        <v>67</v>
      </c>
      <c r="B58" s="52" t="s">
        <v>55</v>
      </c>
      <c r="C58" s="74">
        <v>90</v>
      </c>
      <c r="D58" s="75">
        <v>5</v>
      </c>
      <c r="L58" s="48"/>
    </row>
    <row r="59" spans="1:12" outlineLevel="2" x14ac:dyDescent="0.25">
      <c r="A59" s="52"/>
      <c r="B59" s="80" t="s">
        <v>98</v>
      </c>
      <c r="C59" s="74"/>
      <c r="D59" s="75">
        <f>SUBTOTAL(3,D54:D58)</f>
        <v>5</v>
      </c>
      <c r="L59" s="48"/>
    </row>
    <row r="60" spans="1:12" outlineLevel="1" x14ac:dyDescent="0.25">
      <c r="A60" s="80" t="s">
        <v>84</v>
      </c>
      <c r="B60" s="52"/>
      <c r="C60" s="74"/>
      <c r="D60" s="75">
        <f>SUBTOTAL(9,D47:D58)</f>
        <v>60</v>
      </c>
      <c r="L60" s="48"/>
    </row>
    <row r="61" spans="1:12" outlineLevel="3" x14ac:dyDescent="0.25">
      <c r="A61" s="52" t="s">
        <v>66</v>
      </c>
      <c r="B61" s="52" t="s">
        <v>56</v>
      </c>
      <c r="C61" s="74">
        <v>90</v>
      </c>
      <c r="D61" s="75">
        <v>5</v>
      </c>
      <c r="L61" s="48"/>
    </row>
    <row r="62" spans="1:12" outlineLevel="3" x14ac:dyDescent="0.25">
      <c r="A62" s="56" t="s">
        <v>66</v>
      </c>
      <c r="B62" s="56" t="s">
        <v>56</v>
      </c>
      <c r="C62" s="76">
        <v>90</v>
      </c>
      <c r="D62" s="77">
        <v>4</v>
      </c>
      <c r="L62" s="48"/>
    </row>
    <row r="63" spans="1:12" outlineLevel="3" x14ac:dyDescent="0.25">
      <c r="A63" s="52" t="s">
        <v>66</v>
      </c>
      <c r="B63" s="52" t="s">
        <v>56</v>
      </c>
      <c r="C63" s="74">
        <v>30</v>
      </c>
      <c r="D63" s="75">
        <v>4</v>
      </c>
      <c r="L63" s="48"/>
    </row>
    <row r="64" spans="1:12" outlineLevel="2" x14ac:dyDescent="0.25">
      <c r="A64" s="52"/>
      <c r="B64" s="80" t="s">
        <v>97</v>
      </c>
      <c r="C64" s="74"/>
      <c r="D64" s="75">
        <f>SUBTOTAL(3,D61:D63)</f>
        <v>3</v>
      </c>
      <c r="L64" s="48"/>
    </row>
    <row r="65" spans="1:12" outlineLevel="3" x14ac:dyDescent="0.25">
      <c r="A65" s="52" t="s">
        <v>66</v>
      </c>
      <c r="B65" s="52" t="s">
        <v>55</v>
      </c>
      <c r="C65" s="74">
        <v>90</v>
      </c>
      <c r="D65" s="75">
        <v>7</v>
      </c>
      <c r="L65" s="48"/>
    </row>
    <row r="66" spans="1:12" outlineLevel="3" x14ac:dyDescent="0.25">
      <c r="A66" s="56" t="s">
        <v>66</v>
      </c>
      <c r="B66" s="56" t="s">
        <v>55</v>
      </c>
      <c r="C66" s="76">
        <v>90</v>
      </c>
      <c r="D66" s="77">
        <v>7</v>
      </c>
      <c r="L66" s="48"/>
    </row>
    <row r="67" spans="1:12" outlineLevel="3" x14ac:dyDescent="0.25">
      <c r="A67" s="52" t="s">
        <v>66</v>
      </c>
      <c r="B67" s="52" t="s">
        <v>55</v>
      </c>
      <c r="C67" s="74">
        <v>90</v>
      </c>
      <c r="D67" s="75">
        <v>5</v>
      </c>
      <c r="L67" s="48"/>
    </row>
    <row r="68" spans="1:12" outlineLevel="3" x14ac:dyDescent="0.25">
      <c r="A68" s="56" t="s">
        <v>66</v>
      </c>
      <c r="B68" s="56" t="s">
        <v>55</v>
      </c>
      <c r="C68" s="76">
        <v>90</v>
      </c>
      <c r="D68" s="77">
        <v>7</v>
      </c>
      <c r="L68" s="48"/>
    </row>
    <row r="69" spans="1:12" outlineLevel="2" x14ac:dyDescent="0.25">
      <c r="A69" s="56"/>
      <c r="B69" s="81" t="s">
        <v>98</v>
      </c>
      <c r="C69" s="76"/>
      <c r="D69" s="77">
        <f>SUBTOTAL(3,D65:D68)</f>
        <v>4</v>
      </c>
      <c r="L69" s="48"/>
    </row>
    <row r="70" spans="1:12" outlineLevel="1" x14ac:dyDescent="0.25">
      <c r="A70" s="81" t="s">
        <v>85</v>
      </c>
      <c r="B70" s="56"/>
      <c r="C70" s="76"/>
      <c r="D70" s="77">
        <f>SUBTOTAL(9,D61:D68)</f>
        <v>39</v>
      </c>
      <c r="L70" s="48"/>
    </row>
    <row r="71" spans="1:12" outlineLevel="3" x14ac:dyDescent="0.25">
      <c r="A71" s="52" t="s">
        <v>62</v>
      </c>
      <c r="B71" s="52" t="s">
        <v>56</v>
      </c>
      <c r="C71" s="74">
        <v>90</v>
      </c>
      <c r="D71" s="75">
        <v>7</v>
      </c>
      <c r="L71" s="48"/>
    </row>
    <row r="72" spans="1:12" outlineLevel="3" x14ac:dyDescent="0.25">
      <c r="A72" s="56" t="s">
        <v>62</v>
      </c>
      <c r="B72" s="56" t="s">
        <v>56</v>
      </c>
      <c r="C72" s="76">
        <v>90</v>
      </c>
      <c r="D72" s="77">
        <v>7</v>
      </c>
      <c r="L72" s="48"/>
    </row>
    <row r="73" spans="1:12" outlineLevel="3" x14ac:dyDescent="0.25">
      <c r="A73" s="52" t="s">
        <v>62</v>
      </c>
      <c r="B73" s="52" t="s">
        <v>56</v>
      </c>
      <c r="C73" s="74">
        <v>30</v>
      </c>
      <c r="D73" s="75">
        <v>7</v>
      </c>
      <c r="L73" s="48"/>
    </row>
    <row r="74" spans="1:12" outlineLevel="3" x14ac:dyDescent="0.25">
      <c r="A74" s="56" t="s">
        <v>62</v>
      </c>
      <c r="B74" s="56" t="s">
        <v>56</v>
      </c>
      <c r="C74" s="76">
        <v>90</v>
      </c>
      <c r="D74" s="77">
        <v>7</v>
      </c>
      <c r="L74" s="48"/>
    </row>
    <row r="75" spans="1:12" outlineLevel="3" x14ac:dyDescent="0.25">
      <c r="A75" s="52" t="s">
        <v>62</v>
      </c>
      <c r="B75" s="52" t="s">
        <v>56</v>
      </c>
      <c r="C75" s="74">
        <v>90</v>
      </c>
      <c r="D75" s="75">
        <v>7</v>
      </c>
      <c r="L75" s="48"/>
    </row>
    <row r="76" spans="1:12" outlineLevel="2" x14ac:dyDescent="0.25">
      <c r="A76" s="52"/>
      <c r="B76" s="80" t="s">
        <v>97</v>
      </c>
      <c r="C76" s="74"/>
      <c r="D76" s="75">
        <f>SUBTOTAL(3,D71:D75)</f>
        <v>5</v>
      </c>
      <c r="L76" s="48"/>
    </row>
    <row r="77" spans="1:12" outlineLevel="3" x14ac:dyDescent="0.25">
      <c r="A77" s="52" t="s">
        <v>62</v>
      </c>
      <c r="B77" s="52" t="s">
        <v>55</v>
      </c>
      <c r="C77" s="74">
        <v>1</v>
      </c>
      <c r="D77" s="75">
        <v>3</v>
      </c>
      <c r="L77" s="48"/>
    </row>
    <row r="78" spans="1:12" outlineLevel="3" x14ac:dyDescent="0.25">
      <c r="A78" s="56" t="s">
        <v>62</v>
      </c>
      <c r="B78" s="56" t="s">
        <v>55</v>
      </c>
      <c r="C78" s="76">
        <v>1</v>
      </c>
      <c r="D78" s="77">
        <v>3</v>
      </c>
      <c r="L78" s="48"/>
    </row>
    <row r="79" spans="1:12" outlineLevel="3" x14ac:dyDescent="0.25">
      <c r="A79" s="52" t="s">
        <v>62</v>
      </c>
      <c r="B79" s="52" t="s">
        <v>55</v>
      </c>
      <c r="C79" s="74">
        <v>1</v>
      </c>
      <c r="D79" s="75">
        <v>3</v>
      </c>
      <c r="L79" s="48"/>
    </row>
    <row r="80" spans="1:12" outlineLevel="3" x14ac:dyDescent="0.25">
      <c r="A80" s="56" t="s">
        <v>62</v>
      </c>
      <c r="B80" s="56" t="s">
        <v>55</v>
      </c>
      <c r="C80" s="76">
        <v>90</v>
      </c>
      <c r="D80" s="77">
        <v>3</v>
      </c>
      <c r="L80" s="48"/>
    </row>
    <row r="81" spans="1:12" outlineLevel="3" x14ac:dyDescent="0.25">
      <c r="A81" s="52" t="s">
        <v>62</v>
      </c>
      <c r="B81" s="52" t="s">
        <v>55</v>
      </c>
      <c r="C81" s="74">
        <v>30</v>
      </c>
      <c r="D81" s="75">
        <v>3</v>
      </c>
      <c r="L81" s="48"/>
    </row>
    <row r="82" spans="1:12" outlineLevel="2" x14ac:dyDescent="0.25">
      <c r="A82" s="52"/>
      <c r="B82" s="80" t="s">
        <v>98</v>
      </c>
      <c r="C82" s="74"/>
      <c r="D82" s="75">
        <f>SUBTOTAL(3,D77:D81)</f>
        <v>5</v>
      </c>
      <c r="L82" s="48"/>
    </row>
    <row r="83" spans="1:12" outlineLevel="1" x14ac:dyDescent="0.25">
      <c r="A83" s="80" t="s">
        <v>86</v>
      </c>
      <c r="B83" s="52"/>
      <c r="C83" s="74"/>
      <c r="D83" s="75">
        <f>SUBTOTAL(9,D71:D81)</f>
        <v>50</v>
      </c>
      <c r="L83" s="48"/>
    </row>
    <row r="84" spans="1:12" outlineLevel="3" x14ac:dyDescent="0.25">
      <c r="A84" s="52" t="s">
        <v>63</v>
      </c>
      <c r="B84" s="52" t="s">
        <v>56</v>
      </c>
      <c r="C84" s="74">
        <v>90</v>
      </c>
      <c r="D84" s="75">
        <v>5</v>
      </c>
      <c r="L84" s="48"/>
    </row>
    <row r="85" spans="1:12" outlineLevel="3" x14ac:dyDescent="0.25">
      <c r="A85" s="56" t="s">
        <v>63</v>
      </c>
      <c r="B85" s="56" t="s">
        <v>56</v>
      </c>
      <c r="C85" s="76">
        <v>3</v>
      </c>
      <c r="D85" s="77">
        <v>2</v>
      </c>
      <c r="L85" s="48"/>
    </row>
    <row r="86" spans="1:12" outlineLevel="3" x14ac:dyDescent="0.25">
      <c r="A86" s="52" t="s">
        <v>63</v>
      </c>
      <c r="B86" s="52" t="s">
        <v>56</v>
      </c>
      <c r="C86" s="74">
        <v>90</v>
      </c>
      <c r="D86" s="75">
        <v>5</v>
      </c>
      <c r="L86" s="48"/>
    </row>
    <row r="87" spans="1:12" outlineLevel="3" x14ac:dyDescent="0.25">
      <c r="A87" s="56" t="s">
        <v>63</v>
      </c>
      <c r="B87" s="56" t="s">
        <v>56</v>
      </c>
      <c r="C87" s="76">
        <v>90</v>
      </c>
      <c r="D87" s="77">
        <v>2</v>
      </c>
      <c r="L87" s="48"/>
    </row>
    <row r="88" spans="1:12" outlineLevel="3" x14ac:dyDescent="0.25">
      <c r="A88" s="52" t="s">
        <v>63</v>
      </c>
      <c r="B88" s="52" t="s">
        <v>56</v>
      </c>
      <c r="C88" s="74">
        <v>90</v>
      </c>
      <c r="D88" s="75">
        <v>9</v>
      </c>
      <c r="L88" s="48"/>
    </row>
    <row r="89" spans="1:12" outlineLevel="3" x14ac:dyDescent="0.25">
      <c r="A89" s="56" t="s">
        <v>63</v>
      </c>
      <c r="B89" s="56" t="s">
        <v>56</v>
      </c>
      <c r="C89" s="76">
        <v>90</v>
      </c>
      <c r="D89" s="77">
        <v>2</v>
      </c>
      <c r="L89" s="48"/>
    </row>
    <row r="90" spans="1:12" outlineLevel="3" x14ac:dyDescent="0.25">
      <c r="A90" s="52" t="s">
        <v>63</v>
      </c>
      <c r="B90" s="52" t="s">
        <v>56</v>
      </c>
      <c r="C90" s="74">
        <v>90</v>
      </c>
      <c r="D90" s="75">
        <v>2</v>
      </c>
      <c r="L90" s="48"/>
    </row>
    <row r="91" spans="1:12" outlineLevel="2" x14ac:dyDescent="0.25">
      <c r="A91" s="52"/>
      <c r="B91" s="80" t="s">
        <v>97</v>
      </c>
      <c r="C91" s="74"/>
      <c r="D91" s="75">
        <f>SUBTOTAL(3,D84:D90)</f>
        <v>7</v>
      </c>
      <c r="L91" s="48"/>
    </row>
    <row r="92" spans="1:12" outlineLevel="3" x14ac:dyDescent="0.25">
      <c r="A92" s="52" t="s">
        <v>63</v>
      </c>
      <c r="B92" s="52" t="s">
        <v>55</v>
      </c>
      <c r="C92" s="74">
        <v>90</v>
      </c>
      <c r="D92" s="75">
        <v>4</v>
      </c>
      <c r="L92" s="48"/>
    </row>
    <row r="93" spans="1:12" outlineLevel="3" x14ac:dyDescent="0.25">
      <c r="A93" s="56" t="s">
        <v>63</v>
      </c>
      <c r="B93" s="56" t="s">
        <v>55</v>
      </c>
      <c r="C93" s="76">
        <v>90</v>
      </c>
      <c r="D93" s="77">
        <v>4</v>
      </c>
      <c r="L93" s="48"/>
    </row>
    <row r="94" spans="1:12" outlineLevel="3" x14ac:dyDescent="0.25">
      <c r="A94" s="52" t="s">
        <v>63</v>
      </c>
      <c r="B94" s="52" t="s">
        <v>55</v>
      </c>
      <c r="C94" s="74">
        <v>90</v>
      </c>
      <c r="D94" s="75">
        <v>2</v>
      </c>
      <c r="L94" s="48"/>
    </row>
    <row r="95" spans="1:12" outlineLevel="3" x14ac:dyDescent="0.25">
      <c r="A95" s="56" t="s">
        <v>63</v>
      </c>
      <c r="B95" s="56" t="s">
        <v>55</v>
      </c>
      <c r="C95" s="76">
        <v>14</v>
      </c>
      <c r="D95" s="77">
        <v>2</v>
      </c>
      <c r="L95" s="48"/>
    </row>
    <row r="96" spans="1:12" outlineLevel="3" x14ac:dyDescent="0.25">
      <c r="A96" s="52" t="s">
        <v>63</v>
      </c>
      <c r="B96" s="52" t="s">
        <v>55</v>
      </c>
      <c r="C96" s="74">
        <v>1</v>
      </c>
      <c r="D96" s="75">
        <v>4</v>
      </c>
      <c r="L96" s="48"/>
    </row>
    <row r="97" spans="1:12" outlineLevel="3" x14ac:dyDescent="0.25">
      <c r="A97" s="56" t="s">
        <v>63</v>
      </c>
      <c r="B97" s="56" t="s">
        <v>55</v>
      </c>
      <c r="C97" s="76">
        <v>1</v>
      </c>
      <c r="D97" s="77">
        <v>2</v>
      </c>
      <c r="L97" s="48"/>
    </row>
    <row r="98" spans="1:12" outlineLevel="2" x14ac:dyDescent="0.25">
      <c r="A98" s="56"/>
      <c r="B98" s="81" t="s">
        <v>98</v>
      </c>
      <c r="C98" s="76"/>
      <c r="D98" s="77">
        <f>SUBTOTAL(3,D92:D97)</f>
        <v>6</v>
      </c>
      <c r="L98" s="48"/>
    </row>
    <row r="99" spans="1:12" outlineLevel="1" x14ac:dyDescent="0.25">
      <c r="A99" s="81" t="s">
        <v>87</v>
      </c>
      <c r="B99" s="56"/>
      <c r="C99" s="76"/>
      <c r="D99" s="77">
        <f>SUBTOTAL(9,D84:D97)</f>
        <v>45</v>
      </c>
      <c r="L99" s="48"/>
    </row>
    <row r="100" spans="1:12" outlineLevel="3" x14ac:dyDescent="0.25">
      <c r="A100" s="52" t="s">
        <v>69</v>
      </c>
      <c r="B100" s="52" t="s">
        <v>56</v>
      </c>
      <c r="C100" s="74">
        <v>30</v>
      </c>
      <c r="D100" s="75">
        <v>6</v>
      </c>
      <c r="L100" s="48"/>
    </row>
    <row r="101" spans="1:12" outlineLevel="3" x14ac:dyDescent="0.25">
      <c r="A101" s="56" t="s">
        <v>69</v>
      </c>
      <c r="B101" s="56" t="s">
        <v>56</v>
      </c>
      <c r="C101" s="76">
        <v>90</v>
      </c>
      <c r="D101" s="77">
        <v>6</v>
      </c>
      <c r="L101" s="48"/>
    </row>
    <row r="102" spans="1:12" outlineLevel="3" x14ac:dyDescent="0.25">
      <c r="A102" s="52" t="s">
        <v>69</v>
      </c>
      <c r="B102" s="52" t="s">
        <v>56</v>
      </c>
      <c r="C102" s="74">
        <v>90</v>
      </c>
      <c r="D102" s="75">
        <v>6</v>
      </c>
      <c r="L102" s="48"/>
    </row>
    <row r="103" spans="1:12" outlineLevel="2" x14ac:dyDescent="0.25">
      <c r="A103" s="52"/>
      <c r="B103" s="80" t="s">
        <v>97</v>
      </c>
      <c r="C103" s="74"/>
      <c r="D103" s="75">
        <f>SUBTOTAL(3,D100:D102)</f>
        <v>3</v>
      </c>
      <c r="L103" s="48"/>
    </row>
    <row r="104" spans="1:12" outlineLevel="3" x14ac:dyDescent="0.25">
      <c r="A104" s="52" t="s">
        <v>69</v>
      </c>
      <c r="B104" s="52" t="s">
        <v>55</v>
      </c>
      <c r="C104" s="74">
        <v>30</v>
      </c>
      <c r="D104" s="75">
        <v>6</v>
      </c>
      <c r="L104" s="48"/>
    </row>
    <row r="105" spans="1:12" outlineLevel="3" x14ac:dyDescent="0.25">
      <c r="A105" s="56" t="s">
        <v>69</v>
      </c>
      <c r="B105" s="56" t="s">
        <v>55</v>
      </c>
      <c r="C105" s="76">
        <v>90</v>
      </c>
      <c r="D105" s="77">
        <v>6</v>
      </c>
      <c r="L105" s="48"/>
    </row>
    <row r="106" spans="1:12" outlineLevel="3" x14ac:dyDescent="0.25">
      <c r="A106" s="52" t="s">
        <v>69</v>
      </c>
      <c r="B106" s="52" t="s">
        <v>55</v>
      </c>
      <c r="C106" s="74">
        <v>90</v>
      </c>
      <c r="D106" s="75">
        <v>6</v>
      </c>
      <c r="L106" s="48"/>
    </row>
    <row r="107" spans="1:12" outlineLevel="2" x14ac:dyDescent="0.25">
      <c r="A107" s="52"/>
      <c r="B107" s="80" t="s">
        <v>98</v>
      </c>
      <c r="C107" s="74"/>
      <c r="D107" s="75">
        <f>SUBTOTAL(3,D104:D106)</f>
        <v>3</v>
      </c>
      <c r="L107" s="48"/>
    </row>
    <row r="108" spans="1:12" outlineLevel="1" x14ac:dyDescent="0.25">
      <c r="A108" s="80" t="s">
        <v>88</v>
      </c>
      <c r="B108" s="52"/>
      <c r="C108" s="74"/>
      <c r="D108" s="75">
        <f>SUBTOTAL(9,D100:D106)</f>
        <v>36</v>
      </c>
      <c r="L108" s="48"/>
    </row>
    <row r="109" spans="1:12" outlineLevel="3" x14ac:dyDescent="0.25">
      <c r="A109" s="52" t="s">
        <v>65</v>
      </c>
      <c r="B109" s="52" t="s">
        <v>56</v>
      </c>
      <c r="C109" s="74">
        <v>90</v>
      </c>
      <c r="D109" s="75">
        <v>4</v>
      </c>
      <c r="L109" s="48"/>
    </row>
    <row r="110" spans="1:12" outlineLevel="3" x14ac:dyDescent="0.25">
      <c r="A110" s="56" t="s">
        <v>65</v>
      </c>
      <c r="B110" s="56" t="s">
        <v>56</v>
      </c>
      <c r="C110" s="76">
        <v>90</v>
      </c>
      <c r="D110" s="77">
        <v>4</v>
      </c>
      <c r="L110" s="48"/>
    </row>
    <row r="111" spans="1:12" outlineLevel="3" x14ac:dyDescent="0.25">
      <c r="A111" s="52" t="s">
        <v>65</v>
      </c>
      <c r="B111" s="52" t="s">
        <v>56</v>
      </c>
      <c r="C111" s="74">
        <v>7</v>
      </c>
      <c r="D111" s="75">
        <v>4</v>
      </c>
      <c r="L111" s="48"/>
    </row>
    <row r="112" spans="1:12" outlineLevel="3" x14ac:dyDescent="0.25">
      <c r="A112" s="56" t="s">
        <v>65</v>
      </c>
      <c r="B112" s="56" t="s">
        <v>56</v>
      </c>
      <c r="C112" s="76">
        <v>7</v>
      </c>
      <c r="D112" s="77">
        <v>3</v>
      </c>
      <c r="L112" s="48"/>
    </row>
    <row r="113" spans="1:12" outlineLevel="3" x14ac:dyDescent="0.25">
      <c r="A113" s="52" t="s">
        <v>65</v>
      </c>
      <c r="B113" s="52" t="s">
        <v>56</v>
      </c>
      <c r="C113" s="74">
        <v>90</v>
      </c>
      <c r="D113" s="75">
        <v>3</v>
      </c>
      <c r="L113" s="48"/>
    </row>
    <row r="114" spans="1:12" outlineLevel="3" x14ac:dyDescent="0.25">
      <c r="A114" s="56" t="s">
        <v>65</v>
      </c>
      <c r="B114" s="56" t="s">
        <v>56</v>
      </c>
      <c r="C114" s="76">
        <v>90</v>
      </c>
      <c r="D114" s="77">
        <v>3</v>
      </c>
      <c r="L114" s="48"/>
    </row>
    <row r="115" spans="1:12" outlineLevel="3" x14ac:dyDescent="0.25">
      <c r="A115" s="52" t="s">
        <v>65</v>
      </c>
      <c r="B115" s="52" t="s">
        <v>56</v>
      </c>
      <c r="C115" s="74">
        <v>90</v>
      </c>
      <c r="D115" s="75">
        <v>5</v>
      </c>
      <c r="L115" s="48"/>
    </row>
    <row r="116" spans="1:12" outlineLevel="3" x14ac:dyDescent="0.25">
      <c r="A116" s="56" t="s">
        <v>65</v>
      </c>
      <c r="B116" s="56" t="s">
        <v>56</v>
      </c>
      <c r="C116" s="76">
        <v>90</v>
      </c>
      <c r="D116" s="77">
        <v>3</v>
      </c>
      <c r="L116" s="48"/>
    </row>
    <row r="117" spans="1:12" outlineLevel="2" x14ac:dyDescent="0.25">
      <c r="A117" s="56"/>
      <c r="B117" s="81" t="s">
        <v>97</v>
      </c>
      <c r="C117" s="76"/>
      <c r="D117" s="77">
        <f>SUBTOTAL(3,D109:D116)</f>
        <v>8</v>
      </c>
      <c r="L117" s="48"/>
    </row>
    <row r="118" spans="1:12" outlineLevel="3" x14ac:dyDescent="0.25">
      <c r="A118" s="52" t="s">
        <v>65</v>
      </c>
      <c r="B118" s="52" t="s">
        <v>55</v>
      </c>
      <c r="C118" s="74">
        <v>1</v>
      </c>
      <c r="D118" s="75">
        <v>3</v>
      </c>
      <c r="L118" s="48"/>
    </row>
    <row r="119" spans="1:12" outlineLevel="3" x14ac:dyDescent="0.25">
      <c r="A119" s="56" t="s">
        <v>65</v>
      </c>
      <c r="B119" s="56" t="s">
        <v>55</v>
      </c>
      <c r="C119" s="76">
        <v>90</v>
      </c>
      <c r="D119" s="77">
        <v>3</v>
      </c>
      <c r="L119" s="48"/>
    </row>
    <row r="120" spans="1:12" outlineLevel="3" x14ac:dyDescent="0.25">
      <c r="A120" s="52" t="s">
        <v>65</v>
      </c>
      <c r="B120" s="52" t="s">
        <v>55</v>
      </c>
      <c r="C120" s="74">
        <v>90</v>
      </c>
      <c r="D120" s="75">
        <v>3</v>
      </c>
      <c r="L120" s="48"/>
    </row>
    <row r="121" spans="1:12" outlineLevel="3" x14ac:dyDescent="0.25">
      <c r="A121" s="56" t="s">
        <v>65</v>
      </c>
      <c r="B121" s="56" t="s">
        <v>55</v>
      </c>
      <c r="C121" s="76">
        <v>90</v>
      </c>
      <c r="D121" s="77">
        <v>5</v>
      </c>
      <c r="L121" s="48"/>
    </row>
    <row r="122" spans="1:12" outlineLevel="3" x14ac:dyDescent="0.25">
      <c r="A122" s="52" t="s">
        <v>65</v>
      </c>
      <c r="B122" s="52" t="s">
        <v>55</v>
      </c>
      <c r="C122" s="74">
        <v>90</v>
      </c>
      <c r="D122" s="75">
        <v>5</v>
      </c>
      <c r="L122" s="48"/>
    </row>
    <row r="123" spans="1:12" outlineLevel="3" x14ac:dyDescent="0.25">
      <c r="A123" s="56" t="s">
        <v>65</v>
      </c>
      <c r="B123" s="56" t="s">
        <v>55</v>
      </c>
      <c r="C123" s="76">
        <v>90</v>
      </c>
      <c r="D123" s="77">
        <v>5</v>
      </c>
      <c r="L123" s="48"/>
    </row>
    <row r="124" spans="1:12" outlineLevel="3" x14ac:dyDescent="0.25">
      <c r="A124" s="52" t="s">
        <v>65</v>
      </c>
      <c r="B124" s="52" t="s">
        <v>55</v>
      </c>
      <c r="C124" s="74">
        <v>90</v>
      </c>
      <c r="D124" s="75">
        <v>5</v>
      </c>
      <c r="L124" s="48"/>
    </row>
    <row r="125" spans="1:12" outlineLevel="2" x14ac:dyDescent="0.25">
      <c r="A125" s="52"/>
      <c r="B125" s="80" t="s">
        <v>98</v>
      </c>
      <c r="C125" s="74"/>
      <c r="D125" s="75">
        <f>SUBTOTAL(3,D118:D124)</f>
        <v>7</v>
      </c>
      <c r="L125" s="48"/>
    </row>
    <row r="126" spans="1:12" outlineLevel="1" x14ac:dyDescent="0.25">
      <c r="A126" s="80" t="s">
        <v>89</v>
      </c>
      <c r="B126" s="52"/>
      <c r="C126" s="74"/>
      <c r="D126" s="75">
        <f>SUBTOTAL(9,D109:D124)</f>
        <v>58</v>
      </c>
      <c r="L126" s="48"/>
    </row>
    <row r="127" spans="1:12" outlineLevel="3" x14ac:dyDescent="0.25">
      <c r="A127" s="52" t="s">
        <v>68</v>
      </c>
      <c r="B127" s="52" t="s">
        <v>56</v>
      </c>
      <c r="C127" s="74">
        <v>90</v>
      </c>
      <c r="D127" s="75">
        <v>4</v>
      </c>
      <c r="L127" s="48"/>
    </row>
    <row r="128" spans="1:12" outlineLevel="3" x14ac:dyDescent="0.25">
      <c r="A128" s="56" t="s">
        <v>68</v>
      </c>
      <c r="B128" s="56" t="s">
        <v>56</v>
      </c>
      <c r="C128" s="76">
        <v>90</v>
      </c>
      <c r="D128" s="77">
        <v>4</v>
      </c>
      <c r="L128" s="48"/>
    </row>
    <row r="129" spans="1:12" outlineLevel="3" x14ac:dyDescent="0.25">
      <c r="A129" s="52" t="s">
        <v>68</v>
      </c>
      <c r="B129" s="52" t="s">
        <v>56</v>
      </c>
      <c r="C129" s="74">
        <v>90</v>
      </c>
      <c r="D129" s="75">
        <v>4</v>
      </c>
      <c r="L129" s="48"/>
    </row>
    <row r="130" spans="1:12" outlineLevel="3" x14ac:dyDescent="0.25">
      <c r="A130" s="56" t="s">
        <v>68</v>
      </c>
      <c r="B130" s="56" t="s">
        <v>56</v>
      </c>
      <c r="C130" s="76">
        <v>90</v>
      </c>
      <c r="D130" s="77">
        <v>4</v>
      </c>
      <c r="L130" s="48"/>
    </row>
    <row r="131" spans="1:12" outlineLevel="3" x14ac:dyDescent="0.25">
      <c r="A131" s="52" t="s">
        <v>68</v>
      </c>
      <c r="B131" s="52" t="s">
        <v>56</v>
      </c>
      <c r="C131" s="74">
        <v>90</v>
      </c>
      <c r="D131" s="75">
        <v>4</v>
      </c>
      <c r="L131" s="48"/>
    </row>
    <row r="132" spans="1:12" outlineLevel="3" x14ac:dyDescent="0.25">
      <c r="A132" s="56" t="s">
        <v>68</v>
      </c>
      <c r="B132" s="56" t="s">
        <v>56</v>
      </c>
      <c r="C132" s="76">
        <v>90</v>
      </c>
      <c r="D132" s="77">
        <v>4</v>
      </c>
      <c r="L132" s="48"/>
    </row>
    <row r="133" spans="1:12" outlineLevel="3" x14ac:dyDescent="0.25">
      <c r="A133" s="52" t="s">
        <v>68</v>
      </c>
      <c r="B133" s="52" t="s">
        <v>56</v>
      </c>
      <c r="C133" s="74">
        <v>90</v>
      </c>
      <c r="D133" s="75">
        <v>4</v>
      </c>
      <c r="L133" s="48"/>
    </row>
    <row r="134" spans="1:12" outlineLevel="3" x14ac:dyDescent="0.25">
      <c r="A134" s="56" t="s">
        <v>68</v>
      </c>
      <c r="B134" s="56" t="s">
        <v>56</v>
      </c>
      <c r="C134" s="76">
        <v>90</v>
      </c>
      <c r="D134" s="77">
        <v>6</v>
      </c>
      <c r="L134" s="48"/>
    </row>
    <row r="135" spans="1:12" outlineLevel="2" x14ac:dyDescent="0.25">
      <c r="A135" s="56"/>
      <c r="B135" s="81" t="s">
        <v>97</v>
      </c>
      <c r="C135" s="76"/>
      <c r="D135" s="77">
        <f>SUBTOTAL(3,D127:D134)</f>
        <v>8</v>
      </c>
      <c r="L135" s="48"/>
    </row>
    <row r="136" spans="1:12" outlineLevel="3" x14ac:dyDescent="0.25">
      <c r="A136" s="52" t="s">
        <v>68</v>
      </c>
      <c r="B136" s="52" t="s">
        <v>55</v>
      </c>
      <c r="C136" s="74">
        <v>90</v>
      </c>
      <c r="D136" s="75">
        <v>4</v>
      </c>
      <c r="L136" s="48"/>
    </row>
    <row r="137" spans="1:12" outlineLevel="3" x14ac:dyDescent="0.25">
      <c r="A137" s="56" t="s">
        <v>68</v>
      </c>
      <c r="B137" s="56" t="s">
        <v>55</v>
      </c>
      <c r="C137" s="76">
        <v>90</v>
      </c>
      <c r="D137" s="77">
        <v>4</v>
      </c>
      <c r="L137" s="48"/>
    </row>
    <row r="138" spans="1:12" outlineLevel="3" x14ac:dyDescent="0.25">
      <c r="A138" s="52" t="s">
        <v>68</v>
      </c>
      <c r="B138" s="52" t="s">
        <v>55</v>
      </c>
      <c r="C138" s="74">
        <v>90</v>
      </c>
      <c r="D138" s="75">
        <v>4</v>
      </c>
      <c r="L138" s="48"/>
    </row>
    <row r="139" spans="1:12" outlineLevel="3" x14ac:dyDescent="0.25">
      <c r="A139" s="56" t="s">
        <v>68</v>
      </c>
      <c r="B139" s="56" t="s">
        <v>55</v>
      </c>
      <c r="C139" s="76">
        <v>90</v>
      </c>
      <c r="D139" s="77">
        <v>4</v>
      </c>
      <c r="L139" s="48"/>
    </row>
    <row r="140" spans="1:12" outlineLevel="3" x14ac:dyDescent="0.25">
      <c r="A140" s="52" t="s">
        <v>68</v>
      </c>
      <c r="B140" s="52" t="s">
        <v>55</v>
      </c>
      <c r="C140" s="74">
        <v>90</v>
      </c>
      <c r="D140" s="75">
        <v>4</v>
      </c>
      <c r="L140" s="48"/>
    </row>
    <row r="141" spans="1:12" outlineLevel="3" x14ac:dyDescent="0.25">
      <c r="A141" s="56" t="s">
        <v>68</v>
      </c>
      <c r="B141" s="56" t="s">
        <v>55</v>
      </c>
      <c r="C141" s="76">
        <v>90</v>
      </c>
      <c r="D141" s="77">
        <v>4</v>
      </c>
      <c r="L141" s="48"/>
    </row>
    <row r="142" spans="1:12" outlineLevel="3" x14ac:dyDescent="0.25">
      <c r="A142" s="52" t="s">
        <v>68</v>
      </c>
      <c r="B142" s="52" t="s">
        <v>55</v>
      </c>
      <c r="C142" s="74">
        <v>90</v>
      </c>
      <c r="D142" s="75">
        <v>4</v>
      </c>
      <c r="L142" s="48"/>
    </row>
    <row r="143" spans="1:12" outlineLevel="2" x14ac:dyDescent="0.25">
      <c r="A143" s="52"/>
      <c r="B143" s="80" t="s">
        <v>98</v>
      </c>
      <c r="C143" s="74"/>
      <c r="D143" s="75">
        <f>SUBTOTAL(3,D136:D142)</f>
        <v>7</v>
      </c>
      <c r="L143" s="48"/>
    </row>
    <row r="144" spans="1:12" outlineLevel="1" x14ac:dyDescent="0.25">
      <c r="A144" s="80" t="s">
        <v>90</v>
      </c>
      <c r="B144" s="52"/>
      <c r="C144" s="74"/>
      <c r="D144" s="75">
        <f>SUBTOTAL(9,D127:D142)</f>
        <v>62</v>
      </c>
      <c r="L144" s="48"/>
    </row>
    <row r="145" spans="1:12" outlineLevel="3" x14ac:dyDescent="0.25">
      <c r="A145" s="52" t="s">
        <v>57</v>
      </c>
      <c r="B145" s="52" t="s">
        <v>56</v>
      </c>
      <c r="C145" s="74">
        <v>90</v>
      </c>
      <c r="D145" s="75">
        <v>1</v>
      </c>
      <c r="L145" s="48"/>
    </row>
    <row r="146" spans="1:12" outlineLevel="3" x14ac:dyDescent="0.25">
      <c r="A146" s="56" t="s">
        <v>57</v>
      </c>
      <c r="B146" s="56" t="s">
        <v>56</v>
      </c>
      <c r="C146" s="76">
        <v>90</v>
      </c>
      <c r="D146" s="77">
        <v>1</v>
      </c>
      <c r="L146" s="48"/>
    </row>
    <row r="147" spans="1:12" outlineLevel="3" x14ac:dyDescent="0.25">
      <c r="A147" s="52" t="s">
        <v>57</v>
      </c>
      <c r="B147" s="52" t="s">
        <v>56</v>
      </c>
      <c r="C147" s="74">
        <v>90</v>
      </c>
      <c r="D147" s="75">
        <v>1</v>
      </c>
      <c r="L147" s="48"/>
    </row>
    <row r="148" spans="1:12" outlineLevel="3" x14ac:dyDescent="0.25">
      <c r="A148" s="56" t="s">
        <v>57</v>
      </c>
      <c r="B148" s="56" t="s">
        <v>56</v>
      </c>
      <c r="C148" s="76">
        <v>30</v>
      </c>
      <c r="D148" s="77">
        <v>1</v>
      </c>
      <c r="L148" s="48"/>
    </row>
    <row r="149" spans="1:12" outlineLevel="3" x14ac:dyDescent="0.25">
      <c r="A149" s="52" t="s">
        <v>57</v>
      </c>
      <c r="B149" s="52" t="s">
        <v>56</v>
      </c>
      <c r="C149" s="74">
        <v>90</v>
      </c>
      <c r="D149" s="75">
        <v>1</v>
      </c>
      <c r="L149" s="48"/>
    </row>
    <row r="150" spans="1:12" outlineLevel="2" x14ac:dyDescent="0.25">
      <c r="A150" s="52"/>
      <c r="B150" s="80" t="s">
        <v>97</v>
      </c>
      <c r="C150" s="74"/>
      <c r="D150" s="75">
        <f>SUBTOTAL(3,D145:D149)</f>
        <v>5</v>
      </c>
      <c r="L150" s="48"/>
    </row>
    <row r="151" spans="1:12" outlineLevel="3" x14ac:dyDescent="0.25">
      <c r="A151" s="52" t="s">
        <v>57</v>
      </c>
      <c r="B151" s="52" t="s">
        <v>55</v>
      </c>
      <c r="C151" s="74">
        <v>1</v>
      </c>
      <c r="D151" s="75">
        <v>7</v>
      </c>
      <c r="L151" s="48"/>
    </row>
    <row r="152" spans="1:12" outlineLevel="3" x14ac:dyDescent="0.25">
      <c r="A152" s="56" t="s">
        <v>57</v>
      </c>
      <c r="B152" s="56" t="s">
        <v>55</v>
      </c>
      <c r="C152" s="76">
        <v>3</v>
      </c>
      <c r="D152" s="77">
        <v>7</v>
      </c>
      <c r="L152" s="48"/>
    </row>
    <row r="153" spans="1:12" outlineLevel="3" x14ac:dyDescent="0.25">
      <c r="A153" s="52" t="s">
        <v>57</v>
      </c>
      <c r="B153" s="52" t="s">
        <v>55</v>
      </c>
      <c r="C153" s="74">
        <v>7</v>
      </c>
      <c r="D153" s="75">
        <v>7</v>
      </c>
      <c r="L153" s="48"/>
    </row>
    <row r="154" spans="1:12" outlineLevel="3" x14ac:dyDescent="0.25">
      <c r="A154" s="56" t="s">
        <v>57</v>
      </c>
      <c r="B154" s="56" t="s">
        <v>55</v>
      </c>
      <c r="C154" s="76">
        <v>14</v>
      </c>
      <c r="D154" s="77">
        <v>7</v>
      </c>
      <c r="L154" s="48"/>
    </row>
    <row r="155" spans="1:12" outlineLevel="3" x14ac:dyDescent="0.25">
      <c r="A155" s="52" t="s">
        <v>57</v>
      </c>
      <c r="B155" s="52" t="s">
        <v>55</v>
      </c>
      <c r="C155" s="74">
        <v>14</v>
      </c>
      <c r="D155" s="75">
        <v>7</v>
      </c>
      <c r="L155" s="48"/>
    </row>
    <row r="156" spans="1:12" outlineLevel="3" x14ac:dyDescent="0.25">
      <c r="A156" s="56" t="s">
        <v>57</v>
      </c>
      <c r="B156" s="56" t="s">
        <v>55</v>
      </c>
      <c r="C156" s="76">
        <v>7</v>
      </c>
      <c r="D156" s="77">
        <v>7</v>
      </c>
      <c r="L156" s="48"/>
    </row>
    <row r="157" spans="1:12" outlineLevel="3" x14ac:dyDescent="0.25">
      <c r="A157" s="52" t="s">
        <v>57</v>
      </c>
      <c r="B157" s="52" t="s">
        <v>55</v>
      </c>
      <c r="C157" s="74">
        <v>14</v>
      </c>
      <c r="D157" s="75">
        <v>7</v>
      </c>
      <c r="L157" s="48"/>
    </row>
    <row r="158" spans="1:12" outlineLevel="3" x14ac:dyDescent="0.25">
      <c r="A158" s="56" t="s">
        <v>57</v>
      </c>
      <c r="B158" s="56" t="s">
        <v>55</v>
      </c>
      <c r="C158" s="76">
        <v>1</v>
      </c>
      <c r="D158" s="77">
        <v>7</v>
      </c>
      <c r="L158" s="48"/>
    </row>
    <row r="159" spans="1:12" outlineLevel="2" x14ac:dyDescent="0.25">
      <c r="A159" s="82"/>
      <c r="B159" s="84" t="s">
        <v>98</v>
      </c>
      <c r="C159" s="83"/>
      <c r="D159" s="83">
        <f>SUBTOTAL(3,D151:D158)</f>
        <v>8</v>
      </c>
      <c r="L159" s="48"/>
    </row>
    <row r="160" spans="1:12" outlineLevel="1" x14ac:dyDescent="0.25">
      <c r="A160" s="84" t="s">
        <v>91</v>
      </c>
      <c r="B160" s="82"/>
      <c r="C160" s="83"/>
      <c r="D160" s="83">
        <f>SUBTOTAL(9,D145:D158)</f>
        <v>61</v>
      </c>
      <c r="L160" s="48"/>
    </row>
    <row r="161" spans="1:12" x14ac:dyDescent="0.25">
      <c r="A161" s="84"/>
      <c r="B161" s="84" t="s">
        <v>99</v>
      </c>
      <c r="C161" s="83"/>
      <c r="D161" s="83">
        <f>SUBTOTAL(3,D2:D158)</f>
        <v>120</v>
      </c>
      <c r="L161" s="48"/>
    </row>
    <row r="162" spans="1:12" x14ac:dyDescent="0.25">
      <c r="A162" s="84" t="s">
        <v>92</v>
      </c>
      <c r="B162" s="82"/>
      <c r="C162" s="83"/>
      <c r="D162" s="83">
        <f>SUBTOTAL(9,D2:D158)</f>
        <v>559</v>
      </c>
      <c r="L162" s="48"/>
    </row>
  </sheetData>
  <sortState ref="A2:J207">
    <sortCondition ref="A2:A207"/>
    <sortCondition ref="B2:B207"/>
  </sortState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1"/>
  <sheetViews>
    <sheetView workbookViewId="0">
      <selection activeCell="H13" sqref="H13"/>
    </sheetView>
  </sheetViews>
  <sheetFormatPr defaultRowHeight="15" outlineLevelRow="1" outlineLevelCol="1" x14ac:dyDescent="0.25"/>
  <cols>
    <col min="1" max="1" width="16" bestFit="1" customWidth="1"/>
    <col min="2" max="2" width="9.140625" bestFit="1" customWidth="1"/>
    <col min="3" max="3" width="10.85546875" style="78" bestFit="1" customWidth="1" outlineLevel="1"/>
    <col min="4" max="4" width="8.7109375" style="78" bestFit="1" customWidth="1"/>
  </cols>
  <sheetData>
    <row r="1" spans="1:4" x14ac:dyDescent="0.25">
      <c r="A1" s="71" t="s">
        <v>93</v>
      </c>
      <c r="B1" s="71" t="s">
        <v>94</v>
      </c>
      <c r="C1" s="72" t="s">
        <v>95</v>
      </c>
      <c r="D1" s="73" t="s">
        <v>96</v>
      </c>
    </row>
    <row r="2" spans="1:4" outlineLevel="1" x14ac:dyDescent="0.25">
      <c r="A2" s="85" t="s">
        <v>61</v>
      </c>
      <c r="B2" s="52" t="s">
        <v>56</v>
      </c>
      <c r="C2" s="74">
        <v>7</v>
      </c>
      <c r="D2" s="75">
        <v>6</v>
      </c>
    </row>
    <row r="3" spans="1:4" outlineLevel="1" x14ac:dyDescent="0.25">
      <c r="A3" s="56" t="s">
        <v>61</v>
      </c>
      <c r="B3" s="56" t="s">
        <v>56</v>
      </c>
      <c r="C3" s="76">
        <v>90</v>
      </c>
      <c r="D3" s="77">
        <v>4</v>
      </c>
    </row>
    <row r="4" spans="1:4" outlineLevel="1" x14ac:dyDescent="0.25">
      <c r="A4" s="52" t="s">
        <v>61</v>
      </c>
      <c r="B4" s="85" t="s">
        <v>55</v>
      </c>
      <c r="C4" s="74">
        <v>30</v>
      </c>
      <c r="D4" s="75">
        <v>4</v>
      </c>
    </row>
    <row r="5" spans="1:4" outlineLevel="1" x14ac:dyDescent="0.25">
      <c r="A5" s="56" t="s">
        <v>61</v>
      </c>
      <c r="B5" s="56" t="s">
        <v>55</v>
      </c>
      <c r="C5" s="76">
        <v>30</v>
      </c>
      <c r="D5" s="77">
        <v>4</v>
      </c>
    </row>
    <row r="6" spans="1:4" outlineLevel="1" x14ac:dyDescent="0.25">
      <c r="A6" s="52" t="s">
        <v>61</v>
      </c>
      <c r="B6" s="85" t="s">
        <v>55</v>
      </c>
      <c r="C6" s="74">
        <v>90</v>
      </c>
      <c r="D6" s="75">
        <v>4</v>
      </c>
    </row>
    <row r="7" spans="1:4" x14ac:dyDescent="0.25">
      <c r="A7" s="52" t="s">
        <v>64</v>
      </c>
      <c r="B7" s="52" t="s">
        <v>56</v>
      </c>
      <c r="C7" s="74">
        <v>14</v>
      </c>
      <c r="D7" s="75">
        <v>2</v>
      </c>
    </row>
    <row r="8" spans="1:4" x14ac:dyDescent="0.25">
      <c r="A8" s="56" t="s">
        <v>64</v>
      </c>
      <c r="B8" s="56" t="s">
        <v>56</v>
      </c>
      <c r="C8" s="76">
        <v>90</v>
      </c>
      <c r="D8" s="77">
        <v>5</v>
      </c>
    </row>
    <row r="9" spans="1:4" x14ac:dyDescent="0.25">
      <c r="A9" s="52" t="s">
        <v>64</v>
      </c>
      <c r="B9" s="52" t="s">
        <v>56</v>
      </c>
      <c r="C9" s="74">
        <v>14</v>
      </c>
      <c r="D9" s="75">
        <v>2</v>
      </c>
    </row>
    <row r="10" spans="1:4" x14ac:dyDescent="0.25">
      <c r="A10" s="56" t="s">
        <v>64</v>
      </c>
      <c r="B10" s="56" t="s">
        <v>55</v>
      </c>
      <c r="C10" s="76">
        <v>90</v>
      </c>
      <c r="D10" s="77">
        <v>2</v>
      </c>
    </row>
    <row r="11" spans="1:4" x14ac:dyDescent="0.25">
      <c r="A11" s="52" t="s">
        <v>64</v>
      </c>
      <c r="B11" s="52" t="s">
        <v>55</v>
      </c>
      <c r="C11" s="74">
        <v>90</v>
      </c>
      <c r="D11" s="75">
        <v>2</v>
      </c>
    </row>
    <row r="12" spans="1:4" x14ac:dyDescent="0.25">
      <c r="A12" s="52" t="s">
        <v>59</v>
      </c>
      <c r="B12" s="52" t="s">
        <v>56</v>
      </c>
      <c r="C12" s="74">
        <v>90</v>
      </c>
      <c r="D12" s="75">
        <v>8</v>
      </c>
    </row>
    <row r="13" spans="1:4" x14ac:dyDescent="0.25">
      <c r="A13" s="56" t="s">
        <v>59</v>
      </c>
      <c r="B13" s="56" t="s">
        <v>56</v>
      </c>
      <c r="C13" s="76">
        <v>30</v>
      </c>
      <c r="D13" s="77">
        <v>3</v>
      </c>
    </row>
    <row r="14" spans="1:4" x14ac:dyDescent="0.25">
      <c r="A14" s="52" t="s">
        <v>59</v>
      </c>
      <c r="B14" s="52" t="s">
        <v>55</v>
      </c>
      <c r="C14" s="74">
        <v>14</v>
      </c>
      <c r="D14" s="75">
        <v>5</v>
      </c>
    </row>
    <row r="15" spans="1:4" x14ac:dyDescent="0.25">
      <c r="A15" s="52" t="s">
        <v>60</v>
      </c>
      <c r="B15" s="52" t="s">
        <v>56</v>
      </c>
      <c r="C15" s="74">
        <v>90</v>
      </c>
      <c r="D15" s="75">
        <v>6</v>
      </c>
    </row>
    <row r="16" spans="1:4" x14ac:dyDescent="0.25">
      <c r="A16" s="56" t="s">
        <v>60</v>
      </c>
      <c r="B16" s="56" t="s">
        <v>56</v>
      </c>
      <c r="C16" s="76">
        <v>90</v>
      </c>
      <c r="D16" s="77">
        <v>3</v>
      </c>
    </row>
    <row r="17" spans="1:4" x14ac:dyDescent="0.25">
      <c r="A17" s="52" t="s">
        <v>60</v>
      </c>
      <c r="B17" s="52" t="s">
        <v>56</v>
      </c>
      <c r="C17" s="74">
        <v>90</v>
      </c>
      <c r="D17" s="75">
        <v>4</v>
      </c>
    </row>
    <row r="18" spans="1:4" x14ac:dyDescent="0.25">
      <c r="A18" s="56" t="s">
        <v>60</v>
      </c>
      <c r="B18" s="56" t="s">
        <v>56</v>
      </c>
      <c r="C18" s="76">
        <v>90</v>
      </c>
      <c r="D18" s="77">
        <v>3</v>
      </c>
    </row>
    <row r="19" spans="1:4" x14ac:dyDescent="0.25">
      <c r="A19" s="52" t="s">
        <v>60</v>
      </c>
      <c r="B19" s="52" t="s">
        <v>55</v>
      </c>
      <c r="C19" s="74">
        <v>90</v>
      </c>
      <c r="D19" s="75">
        <v>6</v>
      </c>
    </row>
    <row r="20" spans="1:4" x14ac:dyDescent="0.25">
      <c r="A20" s="56" t="s">
        <v>60</v>
      </c>
      <c r="B20" s="56" t="s">
        <v>55</v>
      </c>
      <c r="C20" s="76">
        <v>90</v>
      </c>
      <c r="D20" s="77">
        <v>6</v>
      </c>
    </row>
    <row r="21" spans="1:4" x14ac:dyDescent="0.25">
      <c r="A21" s="52" t="s">
        <v>60</v>
      </c>
      <c r="B21" s="52" t="s">
        <v>55</v>
      </c>
      <c r="C21" s="74">
        <v>90</v>
      </c>
      <c r="D21" s="75">
        <v>6</v>
      </c>
    </row>
    <row r="22" spans="1:4" x14ac:dyDescent="0.25">
      <c r="A22" s="56" t="s">
        <v>60</v>
      </c>
      <c r="B22" s="56" t="s">
        <v>55</v>
      </c>
      <c r="C22" s="76">
        <v>90</v>
      </c>
      <c r="D22" s="77">
        <v>6</v>
      </c>
    </row>
    <row r="23" spans="1:4" x14ac:dyDescent="0.25">
      <c r="A23" s="52" t="s">
        <v>60</v>
      </c>
      <c r="B23" s="52" t="s">
        <v>55</v>
      </c>
      <c r="C23" s="74">
        <v>1</v>
      </c>
      <c r="D23" s="75">
        <v>3</v>
      </c>
    </row>
    <row r="24" spans="1:4" x14ac:dyDescent="0.25">
      <c r="A24" s="56" t="s">
        <v>60</v>
      </c>
      <c r="B24" s="56" t="s">
        <v>55</v>
      </c>
      <c r="C24" s="76">
        <v>90</v>
      </c>
      <c r="D24" s="77">
        <v>6</v>
      </c>
    </row>
    <row r="25" spans="1:4" x14ac:dyDescent="0.25">
      <c r="A25" s="52" t="s">
        <v>58</v>
      </c>
      <c r="B25" s="52" t="s">
        <v>56</v>
      </c>
      <c r="C25" s="74">
        <v>7</v>
      </c>
      <c r="D25" s="75">
        <v>6</v>
      </c>
    </row>
    <row r="26" spans="1:4" x14ac:dyDescent="0.25">
      <c r="A26" s="56" t="s">
        <v>58</v>
      </c>
      <c r="B26" s="56" t="s">
        <v>56</v>
      </c>
      <c r="C26" s="76">
        <v>3</v>
      </c>
      <c r="D26" s="77">
        <v>6</v>
      </c>
    </row>
    <row r="27" spans="1:4" x14ac:dyDescent="0.25">
      <c r="A27" s="52" t="s">
        <v>58</v>
      </c>
      <c r="B27" s="52" t="s">
        <v>56</v>
      </c>
      <c r="C27" s="74">
        <v>90</v>
      </c>
      <c r="D27" s="75">
        <v>6</v>
      </c>
    </row>
    <row r="28" spans="1:4" x14ac:dyDescent="0.25">
      <c r="A28" s="56" t="s">
        <v>58</v>
      </c>
      <c r="B28" s="56" t="s">
        <v>56</v>
      </c>
      <c r="C28" s="76">
        <v>14</v>
      </c>
      <c r="D28" s="77">
        <v>11</v>
      </c>
    </row>
    <row r="29" spans="1:4" x14ac:dyDescent="0.25">
      <c r="A29" s="52" t="s">
        <v>58</v>
      </c>
      <c r="B29" s="52" t="s">
        <v>55</v>
      </c>
      <c r="C29" s="74">
        <v>30</v>
      </c>
      <c r="D29" s="75">
        <v>6</v>
      </c>
    </row>
    <row r="30" spans="1:4" x14ac:dyDescent="0.25">
      <c r="A30" s="56" t="s">
        <v>58</v>
      </c>
      <c r="B30" s="56" t="s">
        <v>55</v>
      </c>
      <c r="C30" s="76">
        <v>90</v>
      </c>
      <c r="D30" s="77">
        <v>6</v>
      </c>
    </row>
    <row r="31" spans="1:4" x14ac:dyDescent="0.25">
      <c r="A31" s="52" t="s">
        <v>58</v>
      </c>
      <c r="B31" s="52" t="s">
        <v>55</v>
      </c>
      <c r="C31" s="74">
        <v>90</v>
      </c>
      <c r="D31" s="75">
        <v>7</v>
      </c>
    </row>
    <row r="32" spans="1:4" x14ac:dyDescent="0.25">
      <c r="A32" s="52" t="s">
        <v>67</v>
      </c>
      <c r="B32" s="52" t="s">
        <v>56</v>
      </c>
      <c r="C32" s="74">
        <v>30</v>
      </c>
      <c r="D32" s="75">
        <v>7</v>
      </c>
    </row>
    <row r="33" spans="1:4" x14ac:dyDescent="0.25">
      <c r="A33" s="56" t="s">
        <v>67</v>
      </c>
      <c r="B33" s="56" t="s">
        <v>56</v>
      </c>
      <c r="C33" s="76">
        <v>90</v>
      </c>
      <c r="D33" s="77">
        <v>6</v>
      </c>
    </row>
    <row r="34" spans="1:4" x14ac:dyDescent="0.25">
      <c r="A34" s="52" t="s">
        <v>67</v>
      </c>
      <c r="B34" s="52" t="s">
        <v>56</v>
      </c>
      <c r="C34" s="74">
        <v>90</v>
      </c>
      <c r="D34" s="75">
        <v>5</v>
      </c>
    </row>
    <row r="35" spans="1:4" x14ac:dyDescent="0.25">
      <c r="A35" s="56" t="s">
        <v>67</v>
      </c>
      <c r="B35" s="56" t="s">
        <v>56</v>
      </c>
      <c r="C35" s="76">
        <v>90</v>
      </c>
      <c r="D35" s="77">
        <v>5</v>
      </c>
    </row>
    <row r="36" spans="1:4" x14ac:dyDescent="0.25">
      <c r="A36" s="52" t="s">
        <v>67</v>
      </c>
      <c r="B36" s="52" t="s">
        <v>56</v>
      </c>
      <c r="C36" s="74">
        <v>90</v>
      </c>
      <c r="D36" s="75">
        <v>5</v>
      </c>
    </row>
    <row r="37" spans="1:4" x14ac:dyDescent="0.25">
      <c r="A37" s="56" t="s">
        <v>67</v>
      </c>
      <c r="B37" s="56" t="s">
        <v>56</v>
      </c>
      <c r="C37" s="76">
        <v>90</v>
      </c>
      <c r="D37" s="77">
        <v>6</v>
      </c>
    </row>
    <row r="38" spans="1:4" x14ac:dyDescent="0.25">
      <c r="A38" s="52" t="s">
        <v>67</v>
      </c>
      <c r="B38" s="52" t="s">
        <v>55</v>
      </c>
      <c r="C38" s="74">
        <v>90</v>
      </c>
      <c r="D38" s="75">
        <v>5</v>
      </c>
    </row>
    <row r="39" spans="1:4" x14ac:dyDescent="0.25">
      <c r="A39" s="56" t="s">
        <v>67</v>
      </c>
      <c r="B39" s="56" t="s">
        <v>55</v>
      </c>
      <c r="C39" s="76">
        <v>90</v>
      </c>
      <c r="D39" s="77">
        <v>5</v>
      </c>
    </row>
    <row r="40" spans="1:4" x14ac:dyDescent="0.25">
      <c r="A40" s="52" t="s">
        <v>67</v>
      </c>
      <c r="B40" s="52" t="s">
        <v>55</v>
      </c>
      <c r="C40" s="74">
        <v>14</v>
      </c>
      <c r="D40" s="75">
        <v>6</v>
      </c>
    </row>
    <row r="41" spans="1:4" x14ac:dyDescent="0.25">
      <c r="A41" s="56" t="s">
        <v>67</v>
      </c>
      <c r="B41" s="56" t="s">
        <v>55</v>
      </c>
      <c r="C41" s="76">
        <v>90</v>
      </c>
      <c r="D41" s="77">
        <v>5</v>
      </c>
    </row>
    <row r="42" spans="1:4" x14ac:dyDescent="0.25">
      <c r="A42" s="52" t="s">
        <v>67</v>
      </c>
      <c r="B42" s="52" t="s">
        <v>55</v>
      </c>
      <c r="C42" s="74">
        <v>90</v>
      </c>
      <c r="D42" s="75">
        <v>5</v>
      </c>
    </row>
    <row r="43" spans="1:4" x14ac:dyDescent="0.25">
      <c r="A43" s="52" t="s">
        <v>66</v>
      </c>
      <c r="B43" s="52" t="s">
        <v>56</v>
      </c>
      <c r="C43" s="74">
        <v>90</v>
      </c>
      <c r="D43" s="75">
        <v>5</v>
      </c>
    </row>
    <row r="44" spans="1:4" x14ac:dyDescent="0.25">
      <c r="A44" s="56" t="s">
        <v>66</v>
      </c>
      <c r="B44" s="56" t="s">
        <v>56</v>
      </c>
      <c r="C44" s="76">
        <v>90</v>
      </c>
      <c r="D44" s="77">
        <v>4</v>
      </c>
    </row>
    <row r="45" spans="1:4" x14ac:dyDescent="0.25">
      <c r="A45" s="52" t="s">
        <v>66</v>
      </c>
      <c r="B45" s="52" t="s">
        <v>56</v>
      </c>
      <c r="C45" s="74">
        <v>30</v>
      </c>
      <c r="D45" s="75">
        <v>4</v>
      </c>
    </row>
    <row r="46" spans="1:4" x14ac:dyDescent="0.25">
      <c r="A46" s="52" t="s">
        <v>66</v>
      </c>
      <c r="B46" s="52" t="s">
        <v>55</v>
      </c>
      <c r="C46" s="74">
        <v>90</v>
      </c>
      <c r="D46" s="75">
        <v>7</v>
      </c>
    </row>
    <row r="47" spans="1:4" x14ac:dyDescent="0.25">
      <c r="A47" s="56" t="s">
        <v>66</v>
      </c>
      <c r="B47" s="56" t="s">
        <v>55</v>
      </c>
      <c r="C47" s="76">
        <v>90</v>
      </c>
      <c r="D47" s="77">
        <v>7</v>
      </c>
    </row>
    <row r="48" spans="1:4" x14ac:dyDescent="0.25">
      <c r="A48" s="52" t="s">
        <v>66</v>
      </c>
      <c r="B48" s="52" t="s">
        <v>55</v>
      </c>
      <c r="C48" s="74">
        <v>90</v>
      </c>
      <c r="D48" s="75">
        <v>5</v>
      </c>
    </row>
    <row r="49" spans="1:4" x14ac:dyDescent="0.25">
      <c r="A49" s="56" t="s">
        <v>66</v>
      </c>
      <c r="B49" s="56" t="s">
        <v>55</v>
      </c>
      <c r="C49" s="76">
        <v>90</v>
      </c>
      <c r="D49" s="77">
        <v>7</v>
      </c>
    </row>
    <row r="50" spans="1:4" x14ac:dyDescent="0.25">
      <c r="A50" s="52" t="s">
        <v>62</v>
      </c>
      <c r="B50" s="52" t="s">
        <v>56</v>
      </c>
      <c r="C50" s="74">
        <v>90</v>
      </c>
      <c r="D50" s="75">
        <v>7</v>
      </c>
    </row>
    <row r="51" spans="1:4" x14ac:dyDescent="0.25">
      <c r="A51" s="56" t="s">
        <v>62</v>
      </c>
      <c r="B51" s="56" t="s">
        <v>56</v>
      </c>
      <c r="C51" s="76">
        <v>90</v>
      </c>
      <c r="D51" s="77">
        <v>7</v>
      </c>
    </row>
    <row r="52" spans="1:4" x14ac:dyDescent="0.25">
      <c r="A52" s="52" t="s">
        <v>62</v>
      </c>
      <c r="B52" s="52" t="s">
        <v>56</v>
      </c>
      <c r="C52" s="74">
        <v>30</v>
      </c>
      <c r="D52" s="75">
        <v>7</v>
      </c>
    </row>
    <row r="53" spans="1:4" x14ac:dyDescent="0.25">
      <c r="A53" s="56" t="s">
        <v>62</v>
      </c>
      <c r="B53" s="56" t="s">
        <v>56</v>
      </c>
      <c r="C53" s="76">
        <v>90</v>
      </c>
      <c r="D53" s="77">
        <v>7</v>
      </c>
    </row>
    <row r="54" spans="1:4" x14ac:dyDescent="0.25">
      <c r="A54" s="52" t="s">
        <v>62</v>
      </c>
      <c r="B54" s="52" t="s">
        <v>56</v>
      </c>
      <c r="C54" s="74">
        <v>90</v>
      </c>
      <c r="D54" s="75">
        <v>7</v>
      </c>
    </row>
    <row r="55" spans="1:4" x14ac:dyDescent="0.25">
      <c r="A55" s="52" t="s">
        <v>62</v>
      </c>
      <c r="B55" s="52" t="s">
        <v>55</v>
      </c>
      <c r="C55" s="74">
        <v>1</v>
      </c>
      <c r="D55" s="75">
        <v>3</v>
      </c>
    </row>
    <row r="56" spans="1:4" x14ac:dyDescent="0.25">
      <c r="A56" s="56" t="s">
        <v>62</v>
      </c>
      <c r="B56" s="56" t="s">
        <v>55</v>
      </c>
      <c r="C56" s="76">
        <v>1</v>
      </c>
      <c r="D56" s="77">
        <v>3</v>
      </c>
    </row>
    <row r="57" spans="1:4" x14ac:dyDescent="0.25">
      <c r="A57" s="52" t="s">
        <v>62</v>
      </c>
      <c r="B57" s="52" t="s">
        <v>55</v>
      </c>
      <c r="C57" s="74">
        <v>1</v>
      </c>
      <c r="D57" s="75">
        <v>3</v>
      </c>
    </row>
    <row r="58" spans="1:4" x14ac:dyDescent="0.25">
      <c r="A58" s="56" t="s">
        <v>62</v>
      </c>
      <c r="B58" s="56" t="s">
        <v>55</v>
      </c>
      <c r="C58" s="76">
        <v>90</v>
      </c>
      <c r="D58" s="77">
        <v>3</v>
      </c>
    </row>
    <row r="59" spans="1:4" x14ac:dyDescent="0.25">
      <c r="A59" s="52" t="s">
        <v>62</v>
      </c>
      <c r="B59" s="52" t="s">
        <v>55</v>
      </c>
      <c r="C59" s="74">
        <v>30</v>
      </c>
      <c r="D59" s="75">
        <v>3</v>
      </c>
    </row>
    <row r="60" spans="1:4" x14ac:dyDescent="0.25">
      <c r="A60" s="52" t="s">
        <v>63</v>
      </c>
      <c r="B60" s="52" t="s">
        <v>56</v>
      </c>
      <c r="C60" s="74">
        <v>90</v>
      </c>
      <c r="D60" s="75">
        <v>5</v>
      </c>
    </row>
    <row r="61" spans="1:4" x14ac:dyDescent="0.25">
      <c r="A61" s="56" t="s">
        <v>63</v>
      </c>
      <c r="B61" s="56" t="s">
        <v>56</v>
      </c>
      <c r="C61" s="76">
        <v>3</v>
      </c>
      <c r="D61" s="77">
        <v>2</v>
      </c>
    </row>
    <row r="62" spans="1:4" x14ac:dyDescent="0.25">
      <c r="A62" s="52" t="s">
        <v>63</v>
      </c>
      <c r="B62" s="52" t="s">
        <v>56</v>
      </c>
      <c r="C62" s="74">
        <v>90</v>
      </c>
      <c r="D62" s="75">
        <v>5</v>
      </c>
    </row>
    <row r="63" spans="1:4" x14ac:dyDescent="0.25">
      <c r="A63" s="56" t="s">
        <v>63</v>
      </c>
      <c r="B63" s="56" t="s">
        <v>56</v>
      </c>
      <c r="C63" s="76">
        <v>90</v>
      </c>
      <c r="D63" s="77">
        <v>2</v>
      </c>
    </row>
    <row r="64" spans="1:4" x14ac:dyDescent="0.25">
      <c r="A64" s="52" t="s">
        <v>63</v>
      </c>
      <c r="B64" s="52" t="s">
        <v>56</v>
      </c>
      <c r="C64" s="74">
        <v>90</v>
      </c>
      <c r="D64" s="75">
        <v>9</v>
      </c>
    </row>
    <row r="65" spans="1:4" x14ac:dyDescent="0.25">
      <c r="A65" s="56" t="s">
        <v>63</v>
      </c>
      <c r="B65" s="56" t="s">
        <v>56</v>
      </c>
      <c r="C65" s="76">
        <v>90</v>
      </c>
      <c r="D65" s="77">
        <v>2</v>
      </c>
    </row>
    <row r="66" spans="1:4" x14ac:dyDescent="0.25">
      <c r="A66" s="52" t="s">
        <v>63</v>
      </c>
      <c r="B66" s="52" t="s">
        <v>56</v>
      </c>
      <c r="C66" s="74">
        <v>90</v>
      </c>
      <c r="D66" s="75">
        <v>2</v>
      </c>
    </row>
    <row r="67" spans="1:4" x14ac:dyDescent="0.25">
      <c r="A67" s="52" t="s">
        <v>63</v>
      </c>
      <c r="B67" s="52" t="s">
        <v>55</v>
      </c>
      <c r="C67" s="74">
        <v>90</v>
      </c>
      <c r="D67" s="75">
        <v>4</v>
      </c>
    </row>
    <row r="68" spans="1:4" x14ac:dyDescent="0.25">
      <c r="A68" s="56" t="s">
        <v>63</v>
      </c>
      <c r="B68" s="56" t="s">
        <v>55</v>
      </c>
      <c r="C68" s="76">
        <v>90</v>
      </c>
      <c r="D68" s="77">
        <v>4</v>
      </c>
    </row>
    <row r="69" spans="1:4" x14ac:dyDescent="0.25">
      <c r="A69" s="52" t="s">
        <v>63</v>
      </c>
      <c r="B69" s="52" t="s">
        <v>55</v>
      </c>
      <c r="C69" s="74">
        <v>90</v>
      </c>
      <c r="D69" s="75">
        <v>2</v>
      </c>
    </row>
    <row r="70" spans="1:4" x14ac:dyDescent="0.25">
      <c r="A70" s="56" t="s">
        <v>63</v>
      </c>
      <c r="B70" s="56" t="s">
        <v>55</v>
      </c>
      <c r="C70" s="76">
        <v>14</v>
      </c>
      <c r="D70" s="77">
        <v>2</v>
      </c>
    </row>
    <row r="71" spans="1:4" x14ac:dyDescent="0.25">
      <c r="A71" s="52" t="s">
        <v>63</v>
      </c>
      <c r="B71" s="52" t="s">
        <v>55</v>
      </c>
      <c r="C71" s="74">
        <v>1</v>
      </c>
      <c r="D71" s="75">
        <v>4</v>
      </c>
    </row>
    <row r="72" spans="1:4" x14ac:dyDescent="0.25">
      <c r="A72" s="56" t="s">
        <v>63</v>
      </c>
      <c r="B72" s="56" t="s">
        <v>55</v>
      </c>
      <c r="C72" s="76">
        <v>1</v>
      </c>
      <c r="D72" s="77">
        <v>2</v>
      </c>
    </row>
    <row r="73" spans="1:4" x14ac:dyDescent="0.25">
      <c r="A73" s="52" t="s">
        <v>69</v>
      </c>
      <c r="B73" s="52" t="s">
        <v>56</v>
      </c>
      <c r="C73" s="74">
        <v>30</v>
      </c>
      <c r="D73" s="75">
        <v>6</v>
      </c>
    </row>
    <row r="74" spans="1:4" x14ac:dyDescent="0.25">
      <c r="A74" s="56" t="s">
        <v>69</v>
      </c>
      <c r="B74" s="56" t="s">
        <v>56</v>
      </c>
      <c r="C74" s="76">
        <v>90</v>
      </c>
      <c r="D74" s="77">
        <v>6</v>
      </c>
    </row>
    <row r="75" spans="1:4" x14ac:dyDescent="0.25">
      <c r="A75" s="52" t="s">
        <v>69</v>
      </c>
      <c r="B75" s="52" t="s">
        <v>56</v>
      </c>
      <c r="C75" s="74">
        <v>90</v>
      </c>
      <c r="D75" s="75">
        <v>6</v>
      </c>
    </row>
    <row r="76" spans="1:4" x14ac:dyDescent="0.25">
      <c r="A76" s="52" t="s">
        <v>69</v>
      </c>
      <c r="B76" s="52" t="s">
        <v>55</v>
      </c>
      <c r="C76" s="74">
        <v>30</v>
      </c>
      <c r="D76" s="75">
        <v>6</v>
      </c>
    </row>
    <row r="77" spans="1:4" x14ac:dyDescent="0.25">
      <c r="A77" s="56" t="s">
        <v>69</v>
      </c>
      <c r="B77" s="56" t="s">
        <v>55</v>
      </c>
      <c r="C77" s="76">
        <v>90</v>
      </c>
      <c r="D77" s="77">
        <v>6</v>
      </c>
    </row>
    <row r="78" spans="1:4" x14ac:dyDescent="0.25">
      <c r="A78" s="52" t="s">
        <v>69</v>
      </c>
      <c r="B78" s="52" t="s">
        <v>55</v>
      </c>
      <c r="C78" s="74">
        <v>90</v>
      </c>
      <c r="D78" s="75">
        <v>6</v>
      </c>
    </row>
    <row r="79" spans="1:4" x14ac:dyDescent="0.25">
      <c r="A79" s="52" t="s">
        <v>65</v>
      </c>
      <c r="B79" s="52" t="s">
        <v>56</v>
      </c>
      <c r="C79" s="74">
        <v>90</v>
      </c>
      <c r="D79" s="75">
        <v>4</v>
      </c>
    </row>
    <row r="80" spans="1:4" x14ac:dyDescent="0.25">
      <c r="A80" s="56" t="s">
        <v>65</v>
      </c>
      <c r="B80" s="56" t="s">
        <v>56</v>
      </c>
      <c r="C80" s="76">
        <v>90</v>
      </c>
      <c r="D80" s="77">
        <v>4</v>
      </c>
    </row>
    <row r="81" spans="1:4" x14ac:dyDescent="0.25">
      <c r="A81" s="52" t="s">
        <v>65</v>
      </c>
      <c r="B81" s="52" t="s">
        <v>56</v>
      </c>
      <c r="C81" s="74">
        <v>7</v>
      </c>
      <c r="D81" s="75">
        <v>4</v>
      </c>
    </row>
    <row r="82" spans="1:4" x14ac:dyDescent="0.25">
      <c r="A82" s="56" t="s">
        <v>65</v>
      </c>
      <c r="B82" s="56" t="s">
        <v>56</v>
      </c>
      <c r="C82" s="76">
        <v>7</v>
      </c>
      <c r="D82" s="77">
        <v>3</v>
      </c>
    </row>
    <row r="83" spans="1:4" x14ac:dyDescent="0.25">
      <c r="A83" s="52" t="s">
        <v>65</v>
      </c>
      <c r="B83" s="52" t="s">
        <v>56</v>
      </c>
      <c r="C83" s="74">
        <v>90</v>
      </c>
      <c r="D83" s="75">
        <v>3</v>
      </c>
    </row>
    <row r="84" spans="1:4" x14ac:dyDescent="0.25">
      <c r="A84" s="56" t="s">
        <v>65</v>
      </c>
      <c r="B84" s="56" t="s">
        <v>56</v>
      </c>
      <c r="C84" s="76">
        <v>90</v>
      </c>
      <c r="D84" s="77">
        <v>3</v>
      </c>
    </row>
    <row r="85" spans="1:4" x14ac:dyDescent="0.25">
      <c r="A85" s="52" t="s">
        <v>65</v>
      </c>
      <c r="B85" s="52" t="s">
        <v>56</v>
      </c>
      <c r="C85" s="74">
        <v>90</v>
      </c>
      <c r="D85" s="75">
        <v>5</v>
      </c>
    </row>
    <row r="86" spans="1:4" x14ac:dyDescent="0.25">
      <c r="A86" s="56" t="s">
        <v>65</v>
      </c>
      <c r="B86" s="56" t="s">
        <v>56</v>
      </c>
      <c r="C86" s="76">
        <v>90</v>
      </c>
      <c r="D86" s="77">
        <v>3</v>
      </c>
    </row>
    <row r="87" spans="1:4" x14ac:dyDescent="0.25">
      <c r="A87" s="52" t="s">
        <v>65</v>
      </c>
      <c r="B87" s="52" t="s">
        <v>55</v>
      </c>
      <c r="C87" s="74">
        <v>1</v>
      </c>
      <c r="D87" s="75">
        <v>3</v>
      </c>
    </row>
    <row r="88" spans="1:4" x14ac:dyDescent="0.25">
      <c r="A88" s="56" t="s">
        <v>65</v>
      </c>
      <c r="B88" s="56" t="s">
        <v>55</v>
      </c>
      <c r="C88" s="76">
        <v>90</v>
      </c>
      <c r="D88" s="77">
        <v>3</v>
      </c>
    </row>
    <row r="89" spans="1:4" x14ac:dyDescent="0.25">
      <c r="A89" s="52" t="s">
        <v>65</v>
      </c>
      <c r="B89" s="52" t="s">
        <v>55</v>
      </c>
      <c r="C89" s="74">
        <v>90</v>
      </c>
      <c r="D89" s="75">
        <v>3</v>
      </c>
    </row>
    <row r="90" spans="1:4" x14ac:dyDescent="0.25">
      <c r="A90" s="56" t="s">
        <v>65</v>
      </c>
      <c r="B90" s="56" t="s">
        <v>55</v>
      </c>
      <c r="C90" s="76">
        <v>90</v>
      </c>
      <c r="D90" s="77">
        <v>5</v>
      </c>
    </row>
    <row r="91" spans="1:4" x14ac:dyDescent="0.25">
      <c r="A91" s="52" t="s">
        <v>65</v>
      </c>
      <c r="B91" s="52" t="s">
        <v>55</v>
      </c>
      <c r="C91" s="74">
        <v>90</v>
      </c>
      <c r="D91" s="75">
        <v>5</v>
      </c>
    </row>
    <row r="92" spans="1:4" x14ac:dyDescent="0.25">
      <c r="A92" s="56" t="s">
        <v>65</v>
      </c>
      <c r="B92" s="56" t="s">
        <v>55</v>
      </c>
      <c r="C92" s="76">
        <v>90</v>
      </c>
      <c r="D92" s="77">
        <v>5</v>
      </c>
    </row>
    <row r="93" spans="1:4" x14ac:dyDescent="0.25">
      <c r="A93" s="52" t="s">
        <v>65</v>
      </c>
      <c r="B93" s="52" t="s">
        <v>55</v>
      </c>
      <c r="C93" s="74">
        <v>90</v>
      </c>
      <c r="D93" s="75">
        <v>5</v>
      </c>
    </row>
    <row r="94" spans="1:4" x14ac:dyDescent="0.25">
      <c r="A94" s="52" t="s">
        <v>68</v>
      </c>
      <c r="B94" s="52" t="s">
        <v>56</v>
      </c>
      <c r="C94" s="74">
        <v>90</v>
      </c>
      <c r="D94" s="75">
        <v>4</v>
      </c>
    </row>
    <row r="95" spans="1:4" x14ac:dyDescent="0.25">
      <c r="A95" s="56" t="s">
        <v>68</v>
      </c>
      <c r="B95" s="56" t="s">
        <v>56</v>
      </c>
      <c r="C95" s="76">
        <v>90</v>
      </c>
      <c r="D95" s="77">
        <v>4</v>
      </c>
    </row>
    <row r="96" spans="1:4" x14ac:dyDescent="0.25">
      <c r="A96" s="52" t="s">
        <v>68</v>
      </c>
      <c r="B96" s="52" t="s">
        <v>56</v>
      </c>
      <c r="C96" s="74">
        <v>90</v>
      </c>
      <c r="D96" s="75">
        <v>4</v>
      </c>
    </row>
    <row r="97" spans="1:4" x14ac:dyDescent="0.25">
      <c r="A97" s="56" t="s">
        <v>68</v>
      </c>
      <c r="B97" s="56" t="s">
        <v>56</v>
      </c>
      <c r="C97" s="76">
        <v>90</v>
      </c>
      <c r="D97" s="77">
        <v>4</v>
      </c>
    </row>
    <row r="98" spans="1:4" x14ac:dyDescent="0.25">
      <c r="A98" s="52" t="s">
        <v>68</v>
      </c>
      <c r="B98" s="52" t="s">
        <v>56</v>
      </c>
      <c r="C98" s="74">
        <v>90</v>
      </c>
      <c r="D98" s="75">
        <v>4</v>
      </c>
    </row>
    <row r="99" spans="1:4" x14ac:dyDescent="0.25">
      <c r="A99" s="56" t="s">
        <v>68</v>
      </c>
      <c r="B99" s="56" t="s">
        <v>56</v>
      </c>
      <c r="C99" s="76">
        <v>90</v>
      </c>
      <c r="D99" s="77">
        <v>4</v>
      </c>
    </row>
    <row r="100" spans="1:4" x14ac:dyDescent="0.25">
      <c r="A100" s="52" t="s">
        <v>68</v>
      </c>
      <c r="B100" s="52" t="s">
        <v>56</v>
      </c>
      <c r="C100" s="74">
        <v>90</v>
      </c>
      <c r="D100" s="75">
        <v>4</v>
      </c>
    </row>
    <row r="101" spans="1:4" x14ac:dyDescent="0.25">
      <c r="A101" s="56" t="s">
        <v>68</v>
      </c>
      <c r="B101" s="56" t="s">
        <v>56</v>
      </c>
      <c r="C101" s="76">
        <v>90</v>
      </c>
      <c r="D101" s="77">
        <v>6</v>
      </c>
    </row>
    <row r="102" spans="1:4" x14ac:dyDescent="0.25">
      <c r="A102" s="52" t="s">
        <v>68</v>
      </c>
      <c r="B102" s="52" t="s">
        <v>55</v>
      </c>
      <c r="C102" s="74">
        <v>90</v>
      </c>
      <c r="D102" s="75">
        <v>4</v>
      </c>
    </row>
    <row r="103" spans="1:4" x14ac:dyDescent="0.25">
      <c r="A103" s="56" t="s">
        <v>68</v>
      </c>
      <c r="B103" s="56" t="s">
        <v>55</v>
      </c>
      <c r="C103" s="76">
        <v>90</v>
      </c>
      <c r="D103" s="77">
        <v>4</v>
      </c>
    </row>
    <row r="104" spans="1:4" x14ac:dyDescent="0.25">
      <c r="A104" s="52" t="s">
        <v>68</v>
      </c>
      <c r="B104" s="52" t="s">
        <v>55</v>
      </c>
      <c r="C104" s="74">
        <v>90</v>
      </c>
      <c r="D104" s="75">
        <v>4</v>
      </c>
    </row>
    <row r="105" spans="1:4" x14ac:dyDescent="0.25">
      <c r="A105" s="56" t="s">
        <v>68</v>
      </c>
      <c r="B105" s="56" t="s">
        <v>55</v>
      </c>
      <c r="C105" s="76">
        <v>90</v>
      </c>
      <c r="D105" s="77">
        <v>4</v>
      </c>
    </row>
    <row r="106" spans="1:4" x14ac:dyDescent="0.25">
      <c r="A106" s="52" t="s">
        <v>68</v>
      </c>
      <c r="B106" s="52" t="s">
        <v>55</v>
      </c>
      <c r="C106" s="74">
        <v>90</v>
      </c>
      <c r="D106" s="75">
        <v>4</v>
      </c>
    </row>
    <row r="107" spans="1:4" x14ac:dyDescent="0.25">
      <c r="A107" s="56" t="s">
        <v>68</v>
      </c>
      <c r="B107" s="56" t="s">
        <v>55</v>
      </c>
      <c r="C107" s="76">
        <v>90</v>
      </c>
      <c r="D107" s="77">
        <v>4</v>
      </c>
    </row>
    <row r="108" spans="1:4" x14ac:dyDescent="0.25">
      <c r="A108" s="52" t="s">
        <v>68</v>
      </c>
      <c r="B108" s="52" t="s">
        <v>55</v>
      </c>
      <c r="C108" s="74">
        <v>90</v>
      </c>
      <c r="D108" s="75">
        <v>4</v>
      </c>
    </row>
    <row r="109" spans="1:4" x14ac:dyDescent="0.25">
      <c r="A109" s="52" t="s">
        <v>57</v>
      </c>
      <c r="B109" s="52" t="s">
        <v>56</v>
      </c>
      <c r="C109" s="74">
        <v>90</v>
      </c>
      <c r="D109" s="75">
        <v>1</v>
      </c>
    </row>
    <row r="110" spans="1:4" x14ac:dyDescent="0.25">
      <c r="A110" s="56" t="s">
        <v>57</v>
      </c>
      <c r="B110" s="56" t="s">
        <v>56</v>
      </c>
      <c r="C110" s="76">
        <v>90</v>
      </c>
      <c r="D110" s="77">
        <v>1</v>
      </c>
    </row>
    <row r="111" spans="1:4" x14ac:dyDescent="0.25">
      <c r="A111" s="52" t="s">
        <v>57</v>
      </c>
      <c r="B111" s="52" t="s">
        <v>56</v>
      </c>
      <c r="C111" s="74">
        <v>90</v>
      </c>
      <c r="D111" s="75">
        <v>1</v>
      </c>
    </row>
    <row r="112" spans="1:4" x14ac:dyDescent="0.25">
      <c r="A112" s="56" t="s">
        <v>57</v>
      </c>
      <c r="B112" s="56" t="s">
        <v>56</v>
      </c>
      <c r="C112" s="76">
        <v>30</v>
      </c>
      <c r="D112" s="77">
        <v>1</v>
      </c>
    </row>
    <row r="113" spans="1:4" x14ac:dyDescent="0.25">
      <c r="A113" s="52" t="s">
        <v>57</v>
      </c>
      <c r="B113" s="52" t="s">
        <v>56</v>
      </c>
      <c r="C113" s="74">
        <v>90</v>
      </c>
      <c r="D113" s="75">
        <v>1</v>
      </c>
    </row>
    <row r="114" spans="1:4" x14ac:dyDescent="0.25">
      <c r="A114" s="52" t="s">
        <v>57</v>
      </c>
      <c r="B114" s="52" t="s">
        <v>55</v>
      </c>
      <c r="C114" s="74">
        <v>1</v>
      </c>
      <c r="D114" s="75">
        <v>7</v>
      </c>
    </row>
    <row r="115" spans="1:4" x14ac:dyDescent="0.25">
      <c r="A115" s="56" t="s">
        <v>57</v>
      </c>
      <c r="B115" s="56" t="s">
        <v>55</v>
      </c>
      <c r="C115" s="76">
        <v>3</v>
      </c>
      <c r="D115" s="77">
        <v>7</v>
      </c>
    </row>
    <row r="116" spans="1:4" x14ac:dyDescent="0.25">
      <c r="A116" s="52" t="s">
        <v>57</v>
      </c>
      <c r="B116" s="52" t="s">
        <v>55</v>
      </c>
      <c r="C116" s="74">
        <v>7</v>
      </c>
      <c r="D116" s="75">
        <v>7</v>
      </c>
    </row>
    <row r="117" spans="1:4" x14ac:dyDescent="0.25">
      <c r="A117" s="56" t="s">
        <v>57</v>
      </c>
      <c r="B117" s="56" t="s">
        <v>55</v>
      </c>
      <c r="C117" s="76">
        <v>14</v>
      </c>
      <c r="D117" s="77">
        <v>7</v>
      </c>
    </row>
    <row r="118" spans="1:4" x14ac:dyDescent="0.25">
      <c r="A118" s="52" t="s">
        <v>57</v>
      </c>
      <c r="B118" s="52" t="s">
        <v>55</v>
      </c>
      <c r="C118" s="74">
        <v>14</v>
      </c>
      <c r="D118" s="75">
        <v>7</v>
      </c>
    </row>
    <row r="119" spans="1:4" x14ac:dyDescent="0.25">
      <c r="A119" s="56" t="s">
        <v>57</v>
      </c>
      <c r="B119" s="56" t="s">
        <v>55</v>
      </c>
      <c r="C119" s="76">
        <v>7</v>
      </c>
      <c r="D119" s="77">
        <v>7</v>
      </c>
    </row>
    <row r="120" spans="1:4" x14ac:dyDescent="0.25">
      <c r="A120" s="52" t="s">
        <v>57</v>
      </c>
      <c r="B120" s="52" t="s">
        <v>55</v>
      </c>
      <c r="C120" s="74">
        <v>14</v>
      </c>
      <c r="D120" s="75">
        <v>7</v>
      </c>
    </row>
    <row r="121" spans="1:4" x14ac:dyDescent="0.25">
      <c r="A121" s="56" t="s">
        <v>57</v>
      </c>
      <c r="B121" s="56" t="s">
        <v>55</v>
      </c>
      <c r="C121" s="76">
        <v>1</v>
      </c>
      <c r="D121" s="77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7"/>
  <sheetViews>
    <sheetView workbookViewId="0">
      <selection activeCell="J19" sqref="J18:J19"/>
    </sheetView>
  </sheetViews>
  <sheetFormatPr defaultRowHeight="15" x14ac:dyDescent="0.25"/>
  <cols>
    <col min="1" max="1" width="27.5703125" bestFit="1" customWidth="1"/>
    <col min="2" max="3" width="2.85546875" customWidth="1"/>
    <col min="4" max="4" width="11.7109375" bestFit="1" customWidth="1"/>
    <col min="5" max="5" width="3" bestFit="1" customWidth="1"/>
    <col min="6" max="6" width="5" bestFit="1" customWidth="1"/>
    <col min="7" max="7" width="11.42578125" customWidth="1"/>
  </cols>
  <sheetData>
    <row r="1" spans="1:7" x14ac:dyDescent="0.25">
      <c r="A1" t="s">
        <v>122</v>
      </c>
      <c r="D1" s="23" t="s">
        <v>123</v>
      </c>
      <c r="E1" s="23"/>
      <c r="F1" s="23"/>
      <c r="G1" s="37" t="s">
        <v>72</v>
      </c>
    </row>
    <row r="2" spans="1:7" x14ac:dyDescent="0.25">
      <c r="A2" s="87" t="s">
        <v>100</v>
      </c>
      <c r="B2" s="22"/>
      <c r="C2" s="89"/>
      <c r="D2" s="22" t="s">
        <v>124</v>
      </c>
      <c r="E2" s="22">
        <v>1</v>
      </c>
      <c r="F2" s="22">
        <v>2011</v>
      </c>
      <c r="G2" s="50">
        <f>DATE(F2,MONTH(1&amp;D2),E2)</f>
        <v>40575</v>
      </c>
    </row>
    <row r="3" spans="1:7" x14ac:dyDescent="0.25">
      <c r="A3" s="87" t="s">
        <v>101</v>
      </c>
      <c r="B3" s="22"/>
      <c r="C3" s="89"/>
      <c r="D3" s="22" t="s">
        <v>124</v>
      </c>
      <c r="E3" s="22">
        <v>2</v>
      </c>
      <c r="F3" s="22">
        <v>2011</v>
      </c>
      <c r="G3" s="50">
        <f t="shared" ref="G3:G23" si="0">DATE(F3,MONTH(1&amp;D3),E3)</f>
        <v>40576</v>
      </c>
    </row>
    <row r="4" spans="1:7" x14ac:dyDescent="0.25">
      <c r="A4" s="87" t="s">
        <v>102</v>
      </c>
      <c r="B4" s="22"/>
      <c r="C4" s="89"/>
      <c r="D4" s="22" t="s">
        <v>124</v>
      </c>
      <c r="E4" s="22">
        <v>3</v>
      </c>
      <c r="F4" s="22">
        <v>2011</v>
      </c>
      <c r="G4" s="50">
        <f t="shared" si="0"/>
        <v>40577</v>
      </c>
    </row>
    <row r="5" spans="1:7" x14ac:dyDescent="0.25">
      <c r="A5" s="87" t="s">
        <v>103</v>
      </c>
      <c r="B5" s="22"/>
      <c r="C5" s="89"/>
      <c r="D5" s="22" t="s">
        <v>124</v>
      </c>
      <c r="E5" s="22">
        <v>4</v>
      </c>
      <c r="F5" s="22">
        <v>2011</v>
      </c>
      <c r="G5" s="50">
        <f t="shared" si="0"/>
        <v>40578</v>
      </c>
    </row>
    <row r="6" spans="1:7" x14ac:dyDescent="0.25">
      <c r="A6" s="87" t="s">
        <v>104</v>
      </c>
      <c r="B6" s="22"/>
      <c r="C6" s="89"/>
      <c r="D6" s="22" t="s">
        <v>124</v>
      </c>
      <c r="E6" s="22">
        <v>5</v>
      </c>
      <c r="F6" s="22">
        <v>2011</v>
      </c>
      <c r="G6" s="50">
        <f t="shared" si="0"/>
        <v>40579</v>
      </c>
    </row>
    <row r="7" spans="1:7" x14ac:dyDescent="0.25">
      <c r="A7" s="87" t="s">
        <v>105</v>
      </c>
      <c r="B7" s="22"/>
      <c r="C7" s="89"/>
      <c r="D7" s="22" t="s">
        <v>124</v>
      </c>
      <c r="E7" s="22">
        <v>6</v>
      </c>
      <c r="F7" s="22">
        <v>2011</v>
      </c>
      <c r="G7" s="50">
        <f t="shared" si="0"/>
        <v>40580</v>
      </c>
    </row>
    <row r="8" spans="1:7" x14ac:dyDescent="0.25">
      <c r="A8" s="87" t="s">
        <v>106</v>
      </c>
      <c r="B8" s="22"/>
      <c r="C8" s="89"/>
      <c r="D8" s="22" t="s">
        <v>124</v>
      </c>
      <c r="E8" s="22">
        <v>7</v>
      </c>
      <c r="F8" s="22">
        <v>2011</v>
      </c>
      <c r="G8" s="50">
        <f t="shared" si="0"/>
        <v>40581</v>
      </c>
    </row>
    <row r="9" spans="1:7" x14ac:dyDescent="0.25">
      <c r="A9" s="87" t="s">
        <v>107</v>
      </c>
      <c r="B9" s="22"/>
      <c r="C9" s="89"/>
      <c r="D9" s="22" t="s">
        <v>124</v>
      </c>
      <c r="E9" s="22">
        <v>8</v>
      </c>
      <c r="F9" s="22">
        <v>2011</v>
      </c>
      <c r="G9" s="50">
        <f t="shared" si="0"/>
        <v>40582</v>
      </c>
    </row>
    <row r="10" spans="1:7" x14ac:dyDescent="0.25">
      <c r="A10" s="87" t="s">
        <v>108</v>
      </c>
      <c r="B10" s="22"/>
      <c r="C10" s="89"/>
      <c r="D10" s="22" t="s">
        <v>124</v>
      </c>
      <c r="E10" s="22">
        <v>9</v>
      </c>
      <c r="F10" s="22">
        <v>2011</v>
      </c>
      <c r="G10" s="50">
        <f t="shared" si="0"/>
        <v>40583</v>
      </c>
    </row>
    <row r="11" spans="1:7" x14ac:dyDescent="0.25">
      <c r="A11" s="87" t="s">
        <v>109</v>
      </c>
      <c r="B11" s="22"/>
      <c r="C11" s="89"/>
      <c r="D11" s="22" t="s">
        <v>124</v>
      </c>
      <c r="E11" s="22">
        <v>10</v>
      </c>
      <c r="F11" s="22">
        <v>2011</v>
      </c>
      <c r="G11" s="50">
        <f t="shared" si="0"/>
        <v>40584</v>
      </c>
    </row>
    <row r="12" spans="1:7" x14ac:dyDescent="0.25">
      <c r="A12" s="87" t="s">
        <v>110</v>
      </c>
      <c r="B12" s="22"/>
      <c r="C12" s="89"/>
      <c r="D12" s="22" t="s">
        <v>124</v>
      </c>
      <c r="E12" s="22">
        <v>11</v>
      </c>
      <c r="F12" s="22">
        <v>2011</v>
      </c>
      <c r="G12" s="50">
        <f t="shared" si="0"/>
        <v>40585</v>
      </c>
    </row>
    <row r="13" spans="1:7" x14ac:dyDescent="0.25">
      <c r="A13" s="87" t="s">
        <v>111</v>
      </c>
      <c r="B13" s="22"/>
      <c r="C13" s="89"/>
      <c r="D13" s="22" t="s">
        <v>124</v>
      </c>
      <c r="E13" s="22">
        <v>12</v>
      </c>
      <c r="F13" s="22">
        <v>2011</v>
      </c>
      <c r="G13" s="50">
        <f t="shared" si="0"/>
        <v>40586</v>
      </c>
    </row>
    <row r="14" spans="1:7" x14ac:dyDescent="0.25">
      <c r="A14" s="87" t="s">
        <v>112</v>
      </c>
      <c r="B14" s="22"/>
      <c r="C14" s="89"/>
      <c r="D14" s="22" t="s">
        <v>124</v>
      </c>
      <c r="E14" s="22">
        <v>13</v>
      </c>
      <c r="F14" s="22">
        <v>2011</v>
      </c>
      <c r="G14" s="50">
        <f t="shared" si="0"/>
        <v>40587</v>
      </c>
    </row>
    <row r="15" spans="1:7" x14ac:dyDescent="0.25">
      <c r="A15" s="87" t="s">
        <v>113</v>
      </c>
      <c r="B15" s="22"/>
      <c r="C15" s="89"/>
      <c r="D15" s="22" t="s">
        <v>124</v>
      </c>
      <c r="E15" s="22">
        <v>14</v>
      </c>
      <c r="F15" s="22">
        <v>2011</v>
      </c>
      <c r="G15" s="50">
        <f t="shared" si="0"/>
        <v>40588</v>
      </c>
    </row>
    <row r="16" spans="1:7" x14ac:dyDescent="0.25">
      <c r="A16" s="87" t="s">
        <v>114</v>
      </c>
      <c r="B16" s="22"/>
      <c r="C16" s="89"/>
      <c r="D16" s="22" t="s">
        <v>124</v>
      </c>
      <c r="E16" s="22">
        <v>15</v>
      </c>
      <c r="F16" s="22">
        <v>2011</v>
      </c>
      <c r="G16" s="50">
        <f t="shared" si="0"/>
        <v>40589</v>
      </c>
    </row>
    <row r="17" spans="1:7" x14ac:dyDescent="0.25">
      <c r="A17" s="87" t="s">
        <v>115</v>
      </c>
      <c r="B17" s="22"/>
      <c r="C17" s="89"/>
      <c r="D17" s="22" t="s">
        <v>124</v>
      </c>
      <c r="E17" s="22">
        <v>16</v>
      </c>
      <c r="F17" s="22">
        <v>2011</v>
      </c>
      <c r="G17" s="50">
        <f t="shared" si="0"/>
        <v>40590</v>
      </c>
    </row>
    <row r="18" spans="1:7" x14ac:dyDescent="0.25">
      <c r="A18" s="87" t="s">
        <v>116</v>
      </c>
      <c r="B18" s="22"/>
      <c r="C18" s="89"/>
      <c r="D18" s="22" t="s">
        <v>124</v>
      </c>
      <c r="E18" s="22">
        <v>17</v>
      </c>
      <c r="F18" s="22">
        <v>2011</v>
      </c>
      <c r="G18" s="50">
        <f t="shared" si="0"/>
        <v>40591</v>
      </c>
    </row>
    <row r="19" spans="1:7" x14ac:dyDescent="0.25">
      <c r="A19" s="87" t="s">
        <v>117</v>
      </c>
      <c r="B19" s="22"/>
      <c r="C19" s="89"/>
      <c r="D19" s="22" t="s">
        <v>124</v>
      </c>
      <c r="E19" s="22">
        <v>18</v>
      </c>
      <c r="F19" s="22">
        <v>2011</v>
      </c>
      <c r="G19" s="50">
        <f t="shared" si="0"/>
        <v>40592</v>
      </c>
    </row>
    <row r="20" spans="1:7" x14ac:dyDescent="0.25">
      <c r="A20" s="87" t="s">
        <v>118</v>
      </c>
      <c r="B20" s="22"/>
      <c r="C20" s="89"/>
      <c r="D20" s="22" t="s">
        <v>124</v>
      </c>
      <c r="E20" s="22">
        <v>19</v>
      </c>
      <c r="F20" s="22">
        <v>2011</v>
      </c>
      <c r="G20" s="50">
        <f t="shared" si="0"/>
        <v>40593</v>
      </c>
    </row>
    <row r="21" spans="1:7" x14ac:dyDescent="0.25">
      <c r="A21" s="87" t="s">
        <v>119</v>
      </c>
      <c r="B21" s="22"/>
      <c r="C21" s="89"/>
      <c r="D21" s="22" t="s">
        <v>124</v>
      </c>
      <c r="E21" s="22">
        <v>20</v>
      </c>
      <c r="F21" s="22">
        <v>2011</v>
      </c>
      <c r="G21" s="50">
        <f t="shared" si="0"/>
        <v>40594</v>
      </c>
    </row>
    <row r="22" spans="1:7" x14ac:dyDescent="0.25">
      <c r="A22" s="87" t="s">
        <v>120</v>
      </c>
      <c r="B22" s="22"/>
      <c r="C22" s="89"/>
      <c r="D22" s="22" t="s">
        <v>124</v>
      </c>
      <c r="E22" s="22">
        <v>21</v>
      </c>
      <c r="F22" s="22">
        <v>2011</v>
      </c>
      <c r="G22" s="50">
        <f t="shared" si="0"/>
        <v>40595</v>
      </c>
    </row>
    <row r="23" spans="1:7" x14ac:dyDescent="0.25">
      <c r="A23" s="87" t="s">
        <v>121</v>
      </c>
      <c r="B23" s="22"/>
      <c r="C23" s="89"/>
      <c r="D23" s="22" t="s">
        <v>124</v>
      </c>
      <c r="E23" s="22">
        <v>22</v>
      </c>
      <c r="F23" s="22">
        <v>2011</v>
      </c>
      <c r="G23" s="50">
        <f t="shared" si="0"/>
        <v>40596</v>
      </c>
    </row>
    <row r="26" spans="1:7" x14ac:dyDescent="0.25">
      <c r="A26" s="88"/>
      <c r="D26" s="50"/>
    </row>
    <row r="27" spans="1:7" x14ac:dyDescent="0.25">
      <c r="A27" s="87"/>
      <c r="D27" s="50"/>
    </row>
    <row r="28" spans="1:7" x14ac:dyDescent="0.25">
      <c r="A28" s="87"/>
      <c r="D28" s="50"/>
    </row>
    <row r="29" spans="1:7" x14ac:dyDescent="0.25">
      <c r="A29" s="87"/>
      <c r="D29" s="50"/>
    </row>
    <row r="30" spans="1:7" x14ac:dyDescent="0.25">
      <c r="A30" s="87"/>
      <c r="D30" s="50"/>
    </row>
    <row r="31" spans="1:7" x14ac:dyDescent="0.25">
      <c r="A31" s="87"/>
      <c r="D31" s="50"/>
    </row>
    <row r="32" spans="1:7" x14ac:dyDescent="0.25">
      <c r="A32" s="87"/>
      <c r="D32" s="50"/>
    </row>
    <row r="33" spans="1:4" x14ac:dyDescent="0.25">
      <c r="A33" s="87"/>
      <c r="D33" s="50"/>
    </row>
    <row r="34" spans="1:4" x14ac:dyDescent="0.25">
      <c r="A34" s="87"/>
      <c r="D34" s="50"/>
    </row>
    <row r="35" spans="1:4" x14ac:dyDescent="0.25">
      <c r="A35" s="87"/>
      <c r="D35" s="50"/>
    </row>
    <row r="36" spans="1:4" x14ac:dyDescent="0.25">
      <c r="A36" s="87"/>
      <c r="D36" s="50"/>
    </row>
    <row r="37" spans="1:4" x14ac:dyDescent="0.25">
      <c r="A37" s="87"/>
      <c r="D37" s="50"/>
    </row>
    <row r="38" spans="1:4" x14ac:dyDescent="0.25">
      <c r="A38" s="87"/>
      <c r="D38" s="50"/>
    </row>
    <row r="39" spans="1:4" x14ac:dyDescent="0.25">
      <c r="A39" s="87"/>
      <c r="D39" s="50"/>
    </row>
    <row r="40" spans="1:4" x14ac:dyDescent="0.25">
      <c r="A40" s="87"/>
      <c r="D40" s="50"/>
    </row>
    <row r="41" spans="1:4" x14ac:dyDescent="0.25">
      <c r="A41" s="87"/>
      <c r="D41" s="50"/>
    </row>
    <row r="42" spans="1:4" x14ac:dyDescent="0.25">
      <c r="A42" s="87"/>
      <c r="D42" s="50"/>
    </row>
    <row r="43" spans="1:4" x14ac:dyDescent="0.25">
      <c r="A43" s="87"/>
      <c r="D43" s="50"/>
    </row>
    <row r="44" spans="1:4" x14ac:dyDescent="0.25">
      <c r="A44" s="87"/>
      <c r="D44" s="50"/>
    </row>
    <row r="45" spans="1:4" x14ac:dyDescent="0.25">
      <c r="A45" s="87"/>
      <c r="D45" s="50"/>
    </row>
    <row r="46" spans="1:4" x14ac:dyDescent="0.25">
      <c r="A46" s="87"/>
      <c r="D46" s="50"/>
    </row>
    <row r="47" spans="1:4" x14ac:dyDescent="0.25">
      <c r="A47" s="87"/>
      <c r="D47" s="50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E20" sqref="E20"/>
    </sheetView>
  </sheetViews>
  <sheetFormatPr defaultRowHeight="15" x14ac:dyDescent="0.25"/>
  <cols>
    <col min="1" max="1" width="12.28515625" customWidth="1"/>
    <col min="2" max="2" width="16.5703125" customWidth="1"/>
    <col min="3" max="3" width="19.42578125" customWidth="1"/>
    <col min="4" max="4" width="27" bestFit="1" customWidth="1"/>
  </cols>
  <sheetData>
    <row r="1" spans="1:4" ht="15.75" thickBot="1" x14ac:dyDescent="0.3">
      <c r="A1" s="91" t="s">
        <v>125</v>
      </c>
      <c r="B1" s="92" t="s">
        <v>126</v>
      </c>
      <c r="C1" s="92" t="s">
        <v>132</v>
      </c>
      <c r="D1" s="92" t="s">
        <v>133</v>
      </c>
    </row>
    <row r="2" spans="1:4" ht="15.75" thickTop="1" x14ac:dyDescent="0.25">
      <c r="A2" s="93" t="s">
        <v>127</v>
      </c>
      <c r="B2" s="94">
        <v>51547318</v>
      </c>
      <c r="C2" s="94" t="str">
        <f>CONCATENATE("(",A2,") ",B2)</f>
        <v>(07) 51547318</v>
      </c>
      <c r="D2" s="94" t="s">
        <v>128</v>
      </c>
    </row>
    <row r="3" spans="1:4" x14ac:dyDescent="0.25">
      <c r="A3" s="95" t="s">
        <v>127</v>
      </c>
      <c r="B3" s="96">
        <v>51548470</v>
      </c>
      <c r="C3" s="96" t="str">
        <f>("("&amp;A3&amp;") "&amp;B3)</f>
        <v>(07) 51548470</v>
      </c>
      <c r="D3" s="96" t="s">
        <v>131</v>
      </c>
    </row>
    <row r="4" spans="1:4" x14ac:dyDescent="0.25">
      <c r="A4" s="93" t="s">
        <v>127</v>
      </c>
      <c r="B4" s="94">
        <v>51549992</v>
      </c>
      <c r="C4" s="94" t="str">
        <f>"Phone "&amp;A4&amp;" "&amp;B4</f>
        <v>Phone 07 51549992</v>
      </c>
      <c r="D4" s="94" t="s">
        <v>129</v>
      </c>
    </row>
    <row r="5" spans="1:4" x14ac:dyDescent="0.25">
      <c r="A5" s="95" t="s">
        <v>127</v>
      </c>
      <c r="B5" s="96">
        <v>51547470</v>
      </c>
      <c r="C5" s="96" t="str">
        <f>CONCATENATE(A5,B5)</f>
        <v>0751547470</v>
      </c>
      <c r="D5" s="96" t="s">
        <v>130</v>
      </c>
    </row>
    <row r="6" spans="1:4" x14ac:dyDescent="0.25">
      <c r="A6" s="93" t="s">
        <v>127</v>
      </c>
      <c r="B6" s="94">
        <v>51548529</v>
      </c>
      <c r="C6" s="94" t="str">
        <f>"("&amp;A6&amp;") "&amp;LEFT(B6,4)&amp;" "&amp;RIGHT(B6,4)</f>
        <v>(07) 5154 8529</v>
      </c>
      <c r="D6" s="97" t="s">
        <v>134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9"/>
  <sheetViews>
    <sheetView showGridLines="0" workbookViewId="0">
      <selection activeCell="A8" sqref="A8"/>
    </sheetView>
  </sheetViews>
  <sheetFormatPr defaultRowHeight="15" x14ac:dyDescent="0.25"/>
  <cols>
    <col min="1" max="2" width="12.85546875" customWidth="1"/>
    <col min="3" max="3" width="31.85546875" bestFit="1" customWidth="1"/>
    <col min="4" max="4" width="17.85546875" style="37" customWidth="1"/>
    <col min="5" max="5" width="5.42578125" bestFit="1" customWidth="1"/>
    <col min="8" max="8" width="17.28515625" bestFit="1" customWidth="1"/>
    <col min="9" max="9" width="15.42578125" bestFit="1" customWidth="1"/>
  </cols>
  <sheetData>
    <row r="1" spans="1:9" ht="15.75" thickBot="1" x14ac:dyDescent="0.3">
      <c r="A1" s="2" t="s">
        <v>144</v>
      </c>
      <c r="B1" s="2" t="s">
        <v>149</v>
      </c>
      <c r="C1" s="90" t="s">
        <v>145</v>
      </c>
    </row>
    <row r="2" spans="1:9" ht="15.75" thickTop="1" x14ac:dyDescent="0.25">
      <c r="A2" s="104" t="s">
        <v>146</v>
      </c>
      <c r="B2" s="108" t="s">
        <v>152</v>
      </c>
      <c r="C2" s="101" t="str">
        <f>T(A2)</f>
        <v>Abacus</v>
      </c>
    </row>
    <row r="3" spans="1:9" x14ac:dyDescent="0.25">
      <c r="A3" s="105" t="s">
        <v>147</v>
      </c>
      <c r="B3" s="109" t="s">
        <v>153</v>
      </c>
      <c r="C3" s="102" t="str">
        <f>T(A3)</f>
        <v>Trade Show</v>
      </c>
    </row>
    <row r="4" spans="1:9" x14ac:dyDescent="0.25">
      <c r="A4" s="104" t="s">
        <v>148</v>
      </c>
      <c r="B4" s="108" t="s">
        <v>154</v>
      </c>
      <c r="C4" s="101" t="str">
        <f>T(A4)</f>
        <v>ABC 123</v>
      </c>
    </row>
    <row r="5" spans="1:9" x14ac:dyDescent="0.25">
      <c r="A5" s="105">
        <v>397</v>
      </c>
      <c r="B5" s="109" t="s">
        <v>155</v>
      </c>
      <c r="C5" s="102" t="str">
        <f>T(A5)</f>
        <v/>
      </c>
    </row>
    <row r="6" spans="1:9" x14ac:dyDescent="0.25">
      <c r="A6" s="106">
        <v>40628</v>
      </c>
      <c r="B6" s="108" t="s">
        <v>156</v>
      </c>
      <c r="C6" s="101" t="str">
        <f>T(A6)</f>
        <v/>
      </c>
    </row>
    <row r="7" spans="1:9" x14ac:dyDescent="0.25">
      <c r="A7" s="100"/>
      <c r="B7" s="107" t="s">
        <v>150</v>
      </c>
      <c r="C7" s="103" t="str">
        <f>T("397")</f>
        <v>397</v>
      </c>
    </row>
    <row r="8" spans="1:9" x14ac:dyDescent="0.25">
      <c r="A8" s="106"/>
      <c r="B8" s="108" t="s">
        <v>169</v>
      </c>
      <c r="C8" s="101" t="str">
        <f>T(A8)</f>
        <v/>
      </c>
    </row>
    <row r="10" spans="1:9" ht="19.5" thickBot="1" x14ac:dyDescent="0.35">
      <c r="A10" s="110" t="s">
        <v>151</v>
      </c>
      <c r="B10" s="110"/>
      <c r="C10" s="110"/>
      <c r="D10" s="110"/>
    </row>
    <row r="11" spans="1:9" ht="5.25" customHeight="1" thickTop="1" x14ac:dyDescent="0.25"/>
    <row r="12" spans="1:9" ht="16.5" thickBot="1" x14ac:dyDescent="0.3">
      <c r="A12" s="2" t="s">
        <v>135</v>
      </c>
      <c r="B12" s="2" t="s">
        <v>136</v>
      </c>
      <c r="C12" s="2" t="s">
        <v>143</v>
      </c>
      <c r="D12" s="2" t="s">
        <v>160</v>
      </c>
      <c r="E12" s="111" t="s">
        <v>163</v>
      </c>
      <c r="H12" s="91" t="s">
        <v>141</v>
      </c>
      <c r="I12" s="91" t="s">
        <v>142</v>
      </c>
    </row>
    <row r="13" spans="1:9" ht="16.5" thickTop="1" x14ac:dyDescent="0.25">
      <c r="A13" s="104" t="str">
        <f t="shared" ref="A13:B18" si="0">H13</f>
        <v>Johnny</v>
      </c>
      <c r="B13" s="104" t="str">
        <f t="shared" si="0"/>
        <v>Briant</v>
      </c>
      <c r="C13" s="108" t="s">
        <v>164</v>
      </c>
      <c r="D13" s="104" t="str">
        <f>CONCATENATE(A13," ",B13)</f>
        <v>Johnny Briant</v>
      </c>
      <c r="E13" s="112" t="s">
        <v>28</v>
      </c>
      <c r="H13" s="98" t="s">
        <v>137</v>
      </c>
      <c r="I13" s="98" t="s">
        <v>138</v>
      </c>
    </row>
    <row r="14" spans="1:9" ht="15.75" x14ac:dyDescent="0.25">
      <c r="A14" s="105">
        <f t="shared" si="0"/>
        <v>0</v>
      </c>
      <c r="B14" s="105" t="str">
        <f t="shared" si="0"/>
        <v>Weyland</v>
      </c>
      <c r="C14" s="109" t="s">
        <v>165</v>
      </c>
      <c r="D14" s="105" t="str">
        <f>A14&amp;" "&amp;B14</f>
        <v>0 Weyland</v>
      </c>
      <c r="E14" s="113" t="s">
        <v>29</v>
      </c>
      <c r="H14" s="99"/>
      <c r="I14" s="99" t="s">
        <v>139</v>
      </c>
    </row>
    <row r="15" spans="1:9" ht="15.75" x14ac:dyDescent="0.25">
      <c r="A15" s="104">
        <f t="shared" si="0"/>
        <v>0</v>
      </c>
      <c r="B15" s="104" t="str">
        <f t="shared" si="0"/>
        <v>Wilson</v>
      </c>
      <c r="C15" s="108" t="s">
        <v>166</v>
      </c>
      <c r="D15" s="104" t="str">
        <f>T(A15)&amp;" "&amp;T(B15)</f>
        <v xml:space="preserve"> Wilson</v>
      </c>
      <c r="E15" s="112" t="s">
        <v>28</v>
      </c>
      <c r="H15" s="98"/>
      <c r="I15" s="98" t="s">
        <v>162</v>
      </c>
    </row>
    <row r="16" spans="1:9" ht="15.75" x14ac:dyDescent="0.25">
      <c r="A16" s="105" t="str">
        <f t="shared" si="0"/>
        <v>Roger</v>
      </c>
      <c r="B16" s="105">
        <f t="shared" si="0"/>
        <v>0</v>
      </c>
      <c r="C16" s="109" t="s">
        <v>167</v>
      </c>
      <c r="D16" s="105" t="str">
        <f>CONCATENATE(A16," ",B16)</f>
        <v>Roger 0</v>
      </c>
      <c r="E16" s="113" t="s">
        <v>29</v>
      </c>
      <c r="H16" s="99" t="s">
        <v>140</v>
      </c>
      <c r="I16" s="99"/>
    </row>
    <row r="17" spans="1:9" ht="15.75" x14ac:dyDescent="0.25">
      <c r="A17" s="104" t="str">
        <f t="shared" si="0"/>
        <v>Simon</v>
      </c>
      <c r="B17" s="104">
        <f t="shared" si="0"/>
        <v>0</v>
      </c>
      <c r="C17" s="108" t="s">
        <v>158</v>
      </c>
      <c r="D17" s="104" t="str">
        <f>CONCATENATE(T(A17)," ",T(B17))</f>
        <v xml:space="preserve">Simon </v>
      </c>
      <c r="E17" s="112" t="s">
        <v>28</v>
      </c>
      <c r="H17" s="98" t="s">
        <v>161</v>
      </c>
      <c r="I17" s="98"/>
    </row>
    <row r="18" spans="1:9" ht="15.75" x14ac:dyDescent="0.25">
      <c r="A18" s="105" t="str">
        <f t="shared" si="0"/>
        <v>Brian</v>
      </c>
      <c r="B18" s="105">
        <f t="shared" si="0"/>
        <v>0</v>
      </c>
      <c r="C18" s="109" t="s">
        <v>159</v>
      </c>
      <c r="D18" s="105" t="str">
        <f>T(A18)</f>
        <v>Brian</v>
      </c>
      <c r="E18" s="112" t="s">
        <v>28</v>
      </c>
      <c r="H18" s="99" t="s">
        <v>39</v>
      </c>
      <c r="I18" s="99"/>
    </row>
    <row r="19" spans="1:9" ht="15.75" x14ac:dyDescent="0.25">
      <c r="A19" s="104" t="str">
        <f>T(H19)</f>
        <v/>
      </c>
      <c r="B19" s="104" t="str">
        <f>T(I19)</f>
        <v>Johnson</v>
      </c>
      <c r="C19" s="108" t="s">
        <v>168</v>
      </c>
      <c r="D19" s="104" t="str">
        <f>T(A19)</f>
        <v/>
      </c>
      <c r="E19" s="112" t="s">
        <v>28</v>
      </c>
      <c r="H19" s="98"/>
      <c r="I19" s="98" t="s">
        <v>157</v>
      </c>
    </row>
  </sheetData>
  <pageMargins left="0.7" right="0.7" top="0.75" bottom="0.75" header="0.3" footer="0.3"/>
  <pageSetup paperSize="9" orientation="portrait" verticalDpi="0" r:id="rId1"/>
  <ignoredErrors>
    <ignoredError sqref="D14 D17 C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D15"/>
  <sheetViews>
    <sheetView workbookViewId="0">
      <selection activeCell="D22" sqref="D22"/>
    </sheetView>
  </sheetViews>
  <sheetFormatPr defaultRowHeight="15" x14ac:dyDescent="0.25"/>
  <cols>
    <col min="1" max="1" width="10.7109375" style="37" bestFit="1" customWidth="1"/>
    <col min="2" max="2" width="10.42578125" style="37" customWidth="1"/>
    <col min="3" max="3" width="11.85546875" style="37" customWidth="1"/>
    <col min="4" max="4" width="52.140625" style="37" customWidth="1"/>
  </cols>
  <sheetData>
    <row r="1" spans="1:4" ht="15.75" thickBot="1" x14ac:dyDescent="0.3">
      <c r="A1" s="2" t="s">
        <v>170</v>
      </c>
      <c r="B1" s="2" t="s">
        <v>72</v>
      </c>
      <c r="C1" s="2" t="s">
        <v>24</v>
      </c>
      <c r="D1" s="2" t="s">
        <v>172</v>
      </c>
    </row>
    <row r="2" spans="1:4" ht="15.75" thickTop="1" x14ac:dyDescent="0.25">
      <c r="A2" s="104">
        <v>50</v>
      </c>
      <c r="B2" s="108" t="s">
        <v>171</v>
      </c>
      <c r="C2" s="104">
        <f>N(A2)</f>
        <v>50</v>
      </c>
      <c r="D2" s="108" t="s">
        <v>173</v>
      </c>
    </row>
    <row r="3" spans="1:4" x14ac:dyDescent="0.25">
      <c r="A3" s="105"/>
      <c r="B3" s="109" t="s">
        <v>174</v>
      </c>
      <c r="C3" s="105">
        <f>N("50")</f>
        <v>0</v>
      </c>
      <c r="D3" s="116" t="s">
        <v>187</v>
      </c>
    </row>
    <row r="4" spans="1:4" x14ac:dyDescent="0.25">
      <c r="A4" s="106">
        <v>40618</v>
      </c>
      <c r="B4" s="108" t="s">
        <v>175</v>
      </c>
      <c r="C4" s="115">
        <f>N(A4)</f>
        <v>40618</v>
      </c>
      <c r="D4" s="114" t="s">
        <v>176</v>
      </c>
    </row>
    <row r="5" spans="1:4" x14ac:dyDescent="0.25">
      <c r="A5" s="105">
        <v>50</v>
      </c>
      <c r="B5" s="109" t="s">
        <v>179</v>
      </c>
      <c r="C5" s="105">
        <f>N(A5&gt;60)</f>
        <v>0</v>
      </c>
      <c r="D5" s="116" t="s">
        <v>177</v>
      </c>
    </row>
    <row r="6" spans="1:4" x14ac:dyDescent="0.25">
      <c r="A6" s="104">
        <v>50</v>
      </c>
      <c r="B6" s="108" t="s">
        <v>180</v>
      </c>
      <c r="C6" s="104">
        <f>N(A6&lt;60)</f>
        <v>1</v>
      </c>
      <c r="D6" s="104" t="s">
        <v>178</v>
      </c>
    </row>
    <row r="7" spans="1:4" x14ac:dyDescent="0.25">
      <c r="A7" s="105" t="e">
        <f>1/0</f>
        <v>#DIV/0!</v>
      </c>
      <c r="B7" s="109" t="s">
        <v>181</v>
      </c>
      <c r="C7" s="105" t="e">
        <f>N(A7)</f>
        <v>#DIV/0!</v>
      </c>
      <c r="D7" s="116" t="s">
        <v>182</v>
      </c>
    </row>
    <row r="8" spans="1:4" x14ac:dyDescent="0.25">
      <c r="A8" s="104"/>
      <c r="B8" s="108" t="s">
        <v>183</v>
      </c>
      <c r="C8" s="104">
        <f>N(A8)</f>
        <v>0</v>
      </c>
      <c r="D8" s="114" t="s">
        <v>184</v>
      </c>
    </row>
    <row r="11" spans="1:4" x14ac:dyDescent="0.25">
      <c r="A11" s="117" t="s">
        <v>186</v>
      </c>
    </row>
    <row r="13" spans="1:4" ht="15.75" thickBot="1" x14ac:dyDescent="0.3">
      <c r="A13" s="2" t="s">
        <v>144</v>
      </c>
      <c r="B13" s="2" t="s">
        <v>24</v>
      </c>
      <c r="C13" s="119" t="s">
        <v>72</v>
      </c>
      <c r="D13" s="119"/>
    </row>
    <row r="14" spans="1:4" ht="15.75" thickTop="1" x14ac:dyDescent="0.25">
      <c r="A14" s="104">
        <v>100</v>
      </c>
      <c r="B14" s="108">
        <f>A14*(1+10%)+N("10% was advised by Richard as the increase for 2011")</f>
        <v>110.00000000000001</v>
      </c>
      <c r="C14" s="118" t="s">
        <v>185</v>
      </c>
      <c r="D14" s="108"/>
    </row>
    <row r="15" spans="1:4" x14ac:dyDescent="0.25">
      <c r="C15" s="63"/>
    </row>
  </sheetData>
  <pageMargins left="0.7" right="0.7" top="0.75" bottom="0.75" header="0.3" footer="0.3"/>
  <pageSetup paperSize="9" orientation="portrait" verticalDpi="0" r:id="rId1"/>
  <ignoredErrors>
    <ignoredError sqref="C3" formula="1"/>
    <ignoredError sqref="C7" evalError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8"/>
  <sheetViews>
    <sheetView showGridLines="0" workbookViewId="0">
      <selection activeCell="A24" sqref="A24:H38"/>
    </sheetView>
  </sheetViews>
  <sheetFormatPr defaultRowHeight="15" x14ac:dyDescent="0.25"/>
  <cols>
    <col min="7" max="7" width="10.85546875" customWidth="1"/>
    <col min="8" max="8" width="7.140625" customWidth="1"/>
  </cols>
  <sheetData>
    <row r="1" spans="1:15" x14ac:dyDescent="0.25">
      <c r="A1" s="120" t="s">
        <v>191</v>
      </c>
    </row>
    <row r="2" spans="1:15" x14ac:dyDescent="0.25">
      <c r="A2" s="120"/>
    </row>
    <row r="3" spans="1:15" s="121" customFormat="1" x14ac:dyDescent="0.25">
      <c r="A3" t="s">
        <v>188</v>
      </c>
      <c r="B3" s="122" t="s">
        <v>192</v>
      </c>
      <c r="C3" s="122" t="s">
        <v>193</v>
      </c>
      <c r="D3" s="122" t="s">
        <v>194</v>
      </c>
      <c r="E3" s="122" t="s">
        <v>195</v>
      </c>
      <c r="F3" s="122" t="s">
        <v>190</v>
      </c>
      <c r="G3" s="122" t="s">
        <v>196</v>
      </c>
      <c r="H3" s="122" t="s">
        <v>197</v>
      </c>
      <c r="I3" s="122" t="s">
        <v>198</v>
      </c>
      <c r="J3" s="122" t="s">
        <v>199</v>
      </c>
      <c r="K3" s="122" t="s">
        <v>200</v>
      </c>
      <c r="L3" s="122" t="s">
        <v>201</v>
      </c>
      <c r="M3" s="122" t="s">
        <v>202</v>
      </c>
    </row>
    <row r="4" spans="1:15" x14ac:dyDescent="0.25">
      <c r="A4" t="s">
        <v>189</v>
      </c>
      <c r="B4">
        <v>52</v>
      </c>
      <c r="C4">
        <v>48</v>
      </c>
      <c r="D4">
        <v>61</v>
      </c>
      <c r="E4">
        <v>39</v>
      </c>
      <c r="F4">
        <v>41</v>
      </c>
      <c r="G4">
        <v>35</v>
      </c>
      <c r="H4">
        <v>53</v>
      </c>
      <c r="I4">
        <v>45</v>
      </c>
      <c r="J4">
        <v>41</v>
      </c>
      <c r="K4">
        <v>54</v>
      </c>
      <c r="L4">
        <v>56</v>
      </c>
      <c r="M4">
        <v>60</v>
      </c>
    </row>
    <row r="6" spans="1:15" x14ac:dyDescent="0.25">
      <c r="A6" s="124"/>
      <c r="B6" s="124"/>
    </row>
    <row r="8" spans="1:15" ht="18.75" x14ac:dyDescent="0.3">
      <c r="J8" s="123" t="s">
        <v>203</v>
      </c>
      <c r="K8" s="23"/>
      <c r="L8" s="23"/>
      <c r="M8" s="23"/>
      <c r="N8" s="23"/>
      <c r="O8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28"/>
  <sheetViews>
    <sheetView workbookViewId="0">
      <selection activeCell="G16" sqref="G16"/>
    </sheetView>
  </sheetViews>
  <sheetFormatPr defaultRowHeight="15" x14ac:dyDescent="0.25"/>
  <cols>
    <col min="1" max="1" width="41.85546875" customWidth="1"/>
    <col min="2" max="2" width="18.85546875" customWidth="1"/>
    <col min="3" max="3" width="21.140625" bestFit="1" customWidth="1"/>
    <col min="6" max="6" width="12.5703125" customWidth="1"/>
    <col min="7" max="7" width="21.85546875" customWidth="1"/>
  </cols>
  <sheetData>
    <row r="1" spans="1:3" x14ac:dyDescent="0.25">
      <c r="A1" s="120"/>
    </row>
    <row r="2" spans="1:3" x14ac:dyDescent="0.25">
      <c r="A2" s="120"/>
    </row>
    <row r="3" spans="1:3" x14ac:dyDescent="0.25">
      <c r="A3" s="120"/>
    </row>
    <row r="6" spans="1:3" ht="27" customHeight="1" x14ac:dyDescent="0.25">
      <c r="A6" s="129" t="s">
        <v>72</v>
      </c>
      <c r="B6" s="130" t="s">
        <v>213</v>
      </c>
      <c r="C6" s="131"/>
    </row>
    <row r="8" spans="1:3" x14ac:dyDescent="0.25">
      <c r="A8" t="s">
        <v>204</v>
      </c>
      <c r="B8" s="127">
        <v>10000</v>
      </c>
      <c r="C8" t="s">
        <v>211</v>
      </c>
    </row>
    <row r="9" spans="1:3" x14ac:dyDescent="0.25">
      <c r="A9" t="s">
        <v>205</v>
      </c>
      <c r="B9" s="126">
        <v>0.06</v>
      </c>
      <c r="C9" t="s">
        <v>210</v>
      </c>
    </row>
    <row r="10" spans="1:3" x14ac:dyDescent="0.25">
      <c r="A10" t="s">
        <v>208</v>
      </c>
      <c r="B10">
        <v>12</v>
      </c>
      <c r="C10" t="s">
        <v>207</v>
      </c>
    </row>
    <row r="11" spans="1:3" x14ac:dyDescent="0.25">
      <c r="A11" t="s">
        <v>206</v>
      </c>
      <c r="B11">
        <v>24</v>
      </c>
      <c r="C11" t="s">
        <v>209</v>
      </c>
    </row>
    <row r="13" spans="1:3" x14ac:dyDescent="0.25">
      <c r="A13" t="s">
        <v>212</v>
      </c>
      <c r="B13" s="127">
        <f>B8*(1+B9/B10)^B11</f>
        <v>11271.597762053878</v>
      </c>
    </row>
    <row r="14" spans="1:3" x14ac:dyDescent="0.25">
      <c r="B14" s="127"/>
    </row>
    <row r="17" spans="1:3" x14ac:dyDescent="0.25">
      <c r="B17" s="128"/>
    </row>
    <row r="19" spans="1:3" ht="29.25" customHeight="1" x14ac:dyDescent="0.25">
      <c r="A19" s="129" t="s">
        <v>221</v>
      </c>
      <c r="B19" s="130" t="s">
        <v>214</v>
      </c>
      <c r="C19" s="131"/>
    </row>
    <row r="21" spans="1:3" x14ac:dyDescent="0.25">
      <c r="B21" s="132" t="s">
        <v>209</v>
      </c>
      <c r="C21" s="132" t="s">
        <v>220</v>
      </c>
    </row>
    <row r="22" spans="1:3" x14ac:dyDescent="0.25">
      <c r="A22" s="121" t="s">
        <v>219</v>
      </c>
      <c r="B22" s="125">
        <f>0.06/12</f>
        <v>5.0000000000000001E-3</v>
      </c>
      <c r="C22" s="125">
        <f>0.06/12</f>
        <v>5.0000000000000001E-3</v>
      </c>
    </row>
    <row r="23" spans="1:3" ht="30" x14ac:dyDescent="0.25">
      <c r="A23" s="121" t="s">
        <v>215</v>
      </c>
      <c r="B23">
        <v>24</v>
      </c>
      <c r="C23">
        <f>12*20</f>
        <v>240</v>
      </c>
    </row>
    <row r="24" spans="1:3" x14ac:dyDescent="0.25">
      <c r="A24" s="121" t="s">
        <v>216</v>
      </c>
      <c r="B24">
        <v>-100</v>
      </c>
      <c r="C24">
        <v>-100</v>
      </c>
    </row>
    <row r="25" spans="1:3" ht="45" x14ac:dyDescent="0.25">
      <c r="A25" s="121" t="s">
        <v>217</v>
      </c>
      <c r="B25">
        <v>-10000</v>
      </c>
      <c r="C25">
        <v>0</v>
      </c>
    </row>
    <row r="26" spans="1:3" ht="45" x14ac:dyDescent="0.25">
      <c r="A26" s="121" t="s">
        <v>218</v>
      </c>
      <c r="B26">
        <v>1</v>
      </c>
      <c r="C26">
        <v>1</v>
      </c>
    </row>
    <row r="28" spans="1:3" x14ac:dyDescent="0.25">
      <c r="B28" s="128">
        <f>FV(B22,B23,B24,B25,B26)</f>
        <v>13827.509263782173</v>
      </c>
      <c r="C28" s="128">
        <f>FV(C22,C23,C24,C25,C26)</f>
        <v>46435.109963727271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6"/>
  <sheetViews>
    <sheetView workbookViewId="0">
      <selection activeCell="D23" sqref="D23"/>
    </sheetView>
  </sheetViews>
  <sheetFormatPr defaultRowHeight="15" x14ac:dyDescent="0.25"/>
  <cols>
    <col min="2" max="2" width="14.7109375" bestFit="1" customWidth="1"/>
    <col min="3" max="3" width="15.28515625" customWidth="1"/>
    <col min="4" max="4" width="13.140625" customWidth="1"/>
  </cols>
  <sheetData>
    <row r="1" spans="1:6" x14ac:dyDescent="0.25">
      <c r="A1" s="120" t="s">
        <v>224</v>
      </c>
    </row>
    <row r="2" spans="1:6" x14ac:dyDescent="0.25">
      <c r="D2" s="120" t="s">
        <v>234</v>
      </c>
      <c r="F2" t="str">
        <f ca="1">CHOOSE(RANDBETWEEN(1,7),D4,D5,D6,D7,D8,D9,D10)</f>
        <v>Jeff</v>
      </c>
    </row>
    <row r="3" spans="1:6" x14ac:dyDescent="0.25">
      <c r="A3" t="s">
        <v>222</v>
      </c>
      <c r="B3" t="s">
        <v>223</v>
      </c>
      <c r="D3" s="120" t="s">
        <v>225</v>
      </c>
    </row>
    <row r="4" spans="1:6" x14ac:dyDescent="0.25">
      <c r="A4" s="37">
        <f ca="1">RAND()</f>
        <v>0.70518130388926969</v>
      </c>
      <c r="B4" s="37">
        <f ca="1">RANDBETWEEN(1,100)</f>
        <v>7</v>
      </c>
      <c r="D4" t="s">
        <v>229</v>
      </c>
    </row>
    <row r="5" spans="1:6" x14ac:dyDescent="0.25">
      <c r="A5" s="37">
        <f t="shared" ref="A5:A16" ca="1" si="0">RAND()</f>
        <v>0.46437424271076866</v>
      </c>
      <c r="B5" s="37">
        <f t="shared" ref="B5:B16" ca="1" si="1">RANDBETWEEN(1,100)</f>
        <v>69</v>
      </c>
      <c r="D5" t="s">
        <v>230</v>
      </c>
    </row>
    <row r="6" spans="1:6" x14ac:dyDescent="0.25">
      <c r="A6" s="37">
        <f t="shared" ca="1" si="0"/>
        <v>0.34984608461220734</v>
      </c>
      <c r="B6" s="37">
        <f t="shared" ca="1" si="1"/>
        <v>93</v>
      </c>
      <c r="D6" t="s">
        <v>231</v>
      </c>
    </row>
    <row r="7" spans="1:6" x14ac:dyDescent="0.25">
      <c r="A7" s="37">
        <f t="shared" ca="1" si="0"/>
        <v>0.94525477817341297</v>
      </c>
      <c r="B7" s="37">
        <f t="shared" ca="1" si="1"/>
        <v>73</v>
      </c>
      <c r="D7" t="s">
        <v>226</v>
      </c>
    </row>
    <row r="8" spans="1:6" x14ac:dyDescent="0.25">
      <c r="A8" s="37">
        <f t="shared" ca="1" si="0"/>
        <v>0.42930448374290309</v>
      </c>
      <c r="B8" s="37">
        <f t="shared" ca="1" si="1"/>
        <v>15</v>
      </c>
      <c r="D8" t="s">
        <v>227</v>
      </c>
    </row>
    <row r="9" spans="1:6" x14ac:dyDescent="0.25">
      <c r="A9" s="37">
        <f t="shared" ca="1" si="0"/>
        <v>8.331053651877518E-2</v>
      </c>
      <c r="B9" s="37">
        <f t="shared" ca="1" si="1"/>
        <v>98</v>
      </c>
      <c r="D9" t="s">
        <v>228</v>
      </c>
    </row>
    <row r="10" spans="1:6" x14ac:dyDescent="0.25">
      <c r="A10" s="37">
        <f t="shared" ca="1" si="0"/>
        <v>7.5402021143117115E-2</v>
      </c>
      <c r="B10" s="37">
        <f t="shared" ca="1" si="1"/>
        <v>19</v>
      </c>
      <c r="D10" t="s">
        <v>232</v>
      </c>
    </row>
    <row r="11" spans="1:6" x14ac:dyDescent="0.25">
      <c r="A11" s="37"/>
      <c r="B11" s="37"/>
    </row>
    <row r="12" spans="1:6" x14ac:dyDescent="0.25">
      <c r="A12" s="37"/>
      <c r="B12" s="37"/>
    </row>
    <row r="13" spans="1:6" x14ac:dyDescent="0.25">
      <c r="A13" s="37"/>
      <c r="B13" s="37"/>
    </row>
    <row r="14" spans="1:6" x14ac:dyDescent="0.25">
      <c r="A14" s="37">
        <f t="shared" ca="1" si="0"/>
        <v>0.80942107937479646</v>
      </c>
      <c r="B14" s="37">
        <f t="shared" ca="1" si="1"/>
        <v>47</v>
      </c>
    </row>
    <row r="15" spans="1:6" x14ac:dyDescent="0.25">
      <c r="A15" s="37">
        <f t="shared" ca="1" si="0"/>
        <v>0.14736086453153285</v>
      </c>
      <c r="B15" s="37">
        <f t="shared" ca="1" si="1"/>
        <v>63</v>
      </c>
      <c r="D15" s="63" t="s">
        <v>233</v>
      </c>
    </row>
    <row r="16" spans="1:6" x14ac:dyDescent="0.25">
      <c r="A16" s="37">
        <f t="shared" ca="1" si="0"/>
        <v>0.10233575250482974</v>
      </c>
      <c r="B16" s="37">
        <f t="shared" ca="1" si="1"/>
        <v>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3"/>
  <sheetViews>
    <sheetView workbookViewId="0"/>
  </sheetViews>
  <sheetFormatPr defaultRowHeight="15" x14ac:dyDescent="0.25"/>
  <sheetData>
    <row r="1" spans="1:1" ht="18.75" x14ac:dyDescent="0.3">
      <c r="A1" s="143" t="s">
        <v>257</v>
      </c>
    </row>
    <row r="3" spans="1:1" x14ac:dyDescent="0.25">
      <c r="A3" t="s">
        <v>235</v>
      </c>
    </row>
    <row r="23" spans="11:11" x14ac:dyDescent="0.25">
      <c r="K23" s="133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6"/>
  <sheetViews>
    <sheetView workbookViewId="0">
      <selection activeCell="P20" sqref="P20"/>
    </sheetView>
  </sheetViews>
  <sheetFormatPr defaultRowHeight="15" x14ac:dyDescent="0.25"/>
  <cols>
    <col min="1" max="1" width="19.28515625" customWidth="1"/>
    <col min="2" max="5" width="5.85546875" customWidth="1"/>
    <col min="6" max="6" width="5" customWidth="1"/>
    <col min="7" max="9" width="5.85546875" customWidth="1"/>
    <col min="10" max="10" width="6.7109375" customWidth="1"/>
    <col min="11" max="11" width="8.28515625" bestFit="1" customWidth="1"/>
    <col min="12" max="12" width="7.7109375" bestFit="1" customWidth="1"/>
  </cols>
  <sheetData>
    <row r="1" spans="1:12" ht="18.75" x14ac:dyDescent="0.3">
      <c r="A1" s="143" t="s">
        <v>258</v>
      </c>
    </row>
    <row r="3" spans="1:12" s="121" customFormat="1" ht="27.75" customHeight="1" thickBot="1" x14ac:dyDescent="0.3">
      <c r="A3" s="139"/>
      <c r="B3" s="134" t="s">
        <v>238</v>
      </c>
      <c r="C3" s="134" t="s">
        <v>236</v>
      </c>
      <c r="D3" s="134" t="s">
        <v>237</v>
      </c>
      <c r="E3" s="134" t="s">
        <v>239</v>
      </c>
      <c r="F3" s="134" t="s">
        <v>256</v>
      </c>
      <c r="G3" s="134" t="s">
        <v>240</v>
      </c>
      <c r="H3" s="134" t="s">
        <v>241</v>
      </c>
      <c r="I3" s="134" t="s">
        <v>242</v>
      </c>
      <c r="J3" s="134" t="s">
        <v>243</v>
      </c>
      <c r="K3" s="134" t="s">
        <v>254</v>
      </c>
      <c r="L3" s="134" t="s">
        <v>255</v>
      </c>
    </row>
    <row r="4" spans="1:12" ht="15.75" thickTop="1" x14ac:dyDescent="0.25">
      <c r="A4" s="140" t="s">
        <v>260</v>
      </c>
      <c r="B4" s="138">
        <v>1</v>
      </c>
      <c r="C4" s="138">
        <v>7</v>
      </c>
      <c r="D4" s="138">
        <v>4</v>
      </c>
      <c r="E4" s="138">
        <v>10</v>
      </c>
      <c r="F4" s="138">
        <v>10</v>
      </c>
      <c r="G4" s="138">
        <v>10</v>
      </c>
      <c r="H4" s="138">
        <v>3</v>
      </c>
      <c r="I4" s="138">
        <v>1</v>
      </c>
      <c r="J4" s="138">
        <v>10</v>
      </c>
      <c r="K4" s="141">
        <f>AVERAGE(B4:J4)</f>
        <v>6.2222222222222223</v>
      </c>
      <c r="L4" s="141">
        <f>STDEVP(B4:J4)</f>
        <v>3.7646831880216483</v>
      </c>
    </row>
    <row r="5" spans="1:12" x14ac:dyDescent="0.25">
      <c r="A5" s="135" t="s">
        <v>244</v>
      </c>
      <c r="B5" s="136">
        <v>7</v>
      </c>
      <c r="C5" s="136">
        <v>6</v>
      </c>
      <c r="D5" s="136">
        <v>1</v>
      </c>
      <c r="E5" s="136">
        <v>4</v>
      </c>
      <c r="F5" s="136">
        <v>7</v>
      </c>
      <c r="G5" s="136">
        <v>4</v>
      </c>
      <c r="H5" s="136">
        <v>5</v>
      </c>
      <c r="I5" s="136">
        <v>2</v>
      </c>
      <c r="J5" s="136">
        <v>10</v>
      </c>
      <c r="K5" s="142">
        <f t="shared" ref="K5:K15" si="0">AVERAGE(B5:J5)</f>
        <v>5.1111111111111107</v>
      </c>
      <c r="L5" s="142">
        <f t="shared" ref="L5:L15" si="1">STDEVP(B5:J5)</f>
        <v>2.6010444246043609</v>
      </c>
    </row>
    <row r="6" spans="1:12" x14ac:dyDescent="0.25">
      <c r="A6" s="137" t="s">
        <v>245</v>
      </c>
      <c r="B6" s="138">
        <v>4</v>
      </c>
      <c r="C6" s="138">
        <v>1</v>
      </c>
      <c r="D6" s="138">
        <v>7</v>
      </c>
      <c r="E6" s="138">
        <v>8</v>
      </c>
      <c r="F6" s="138">
        <v>9</v>
      </c>
      <c r="G6" s="138">
        <v>4</v>
      </c>
      <c r="H6" s="138">
        <v>5</v>
      </c>
      <c r="I6" s="138">
        <v>9</v>
      </c>
      <c r="J6" s="138">
        <v>7</v>
      </c>
      <c r="K6" s="141">
        <f t="shared" si="0"/>
        <v>6</v>
      </c>
      <c r="L6" s="141">
        <f t="shared" si="1"/>
        <v>2.5385910352879693</v>
      </c>
    </row>
    <row r="7" spans="1:12" x14ac:dyDescent="0.25">
      <c r="A7" s="135" t="s">
        <v>251</v>
      </c>
      <c r="B7" s="136">
        <v>6</v>
      </c>
      <c r="C7" s="136">
        <v>8</v>
      </c>
      <c r="D7" s="136">
        <v>7</v>
      </c>
      <c r="E7" s="136">
        <v>8</v>
      </c>
      <c r="F7" s="136">
        <v>5</v>
      </c>
      <c r="G7" s="136">
        <v>5</v>
      </c>
      <c r="H7" s="136">
        <v>6</v>
      </c>
      <c r="I7" s="136">
        <v>5</v>
      </c>
      <c r="J7" s="136">
        <v>5</v>
      </c>
      <c r="K7" s="142">
        <f t="shared" si="0"/>
        <v>6.1111111111111107</v>
      </c>
      <c r="L7" s="142">
        <f t="shared" si="1"/>
        <v>1.1967032904743342</v>
      </c>
    </row>
    <row r="8" spans="1:12" x14ac:dyDescent="0.25">
      <c r="A8" s="137" t="s">
        <v>246</v>
      </c>
      <c r="B8" s="138">
        <v>5</v>
      </c>
      <c r="C8" s="138">
        <v>7</v>
      </c>
      <c r="D8" s="138">
        <v>8</v>
      </c>
      <c r="E8" s="138">
        <v>9</v>
      </c>
      <c r="F8" s="138">
        <v>1</v>
      </c>
      <c r="G8" s="138">
        <v>9</v>
      </c>
      <c r="H8" s="138">
        <v>2</v>
      </c>
      <c r="I8" s="138">
        <v>2</v>
      </c>
      <c r="J8" s="138">
        <v>2</v>
      </c>
      <c r="K8" s="141">
        <f t="shared" si="0"/>
        <v>5</v>
      </c>
      <c r="L8" s="141">
        <f t="shared" si="1"/>
        <v>3.1269438398822866</v>
      </c>
    </row>
    <row r="9" spans="1:12" x14ac:dyDescent="0.25">
      <c r="A9" s="135" t="s">
        <v>247</v>
      </c>
      <c r="B9" s="136">
        <v>1</v>
      </c>
      <c r="C9" s="136">
        <v>5</v>
      </c>
      <c r="D9" s="136">
        <v>6</v>
      </c>
      <c r="E9" s="136">
        <v>1</v>
      </c>
      <c r="F9" s="136">
        <v>5</v>
      </c>
      <c r="G9" s="136">
        <v>5</v>
      </c>
      <c r="H9" s="136">
        <v>8</v>
      </c>
      <c r="I9" s="136">
        <v>3</v>
      </c>
      <c r="J9" s="136">
        <v>8</v>
      </c>
      <c r="K9" s="142">
        <f t="shared" si="0"/>
        <v>4.666666666666667</v>
      </c>
      <c r="L9" s="142">
        <f t="shared" si="1"/>
        <v>2.4494897427831779</v>
      </c>
    </row>
    <row r="10" spans="1:12" x14ac:dyDescent="0.25">
      <c r="A10" s="140" t="s">
        <v>259</v>
      </c>
      <c r="B10" s="138">
        <v>6</v>
      </c>
      <c r="C10" s="138">
        <v>2</v>
      </c>
      <c r="D10" s="138">
        <v>7</v>
      </c>
      <c r="E10" s="138">
        <v>2</v>
      </c>
      <c r="F10" s="138">
        <v>8</v>
      </c>
      <c r="G10" s="138">
        <v>8</v>
      </c>
      <c r="H10" s="138">
        <v>9</v>
      </c>
      <c r="I10" s="138">
        <v>6</v>
      </c>
      <c r="J10" s="138">
        <v>7</v>
      </c>
      <c r="K10" s="141">
        <f t="shared" si="0"/>
        <v>6.1111111111111107</v>
      </c>
      <c r="L10" s="141">
        <f t="shared" si="1"/>
        <v>2.3778816176702997</v>
      </c>
    </row>
    <row r="11" spans="1:12" x14ac:dyDescent="0.25">
      <c r="A11" s="135" t="s">
        <v>248</v>
      </c>
      <c r="B11" s="136">
        <v>3</v>
      </c>
      <c r="C11" s="136">
        <v>8</v>
      </c>
      <c r="D11" s="136">
        <v>1</v>
      </c>
      <c r="E11" s="136">
        <v>4</v>
      </c>
      <c r="F11" s="136">
        <v>9</v>
      </c>
      <c r="G11" s="136">
        <v>9</v>
      </c>
      <c r="H11" s="136">
        <v>9</v>
      </c>
      <c r="I11" s="136">
        <v>1</v>
      </c>
      <c r="J11" s="136">
        <v>1</v>
      </c>
      <c r="K11" s="142">
        <f t="shared" si="0"/>
        <v>5</v>
      </c>
      <c r="L11" s="142">
        <f t="shared" si="1"/>
        <v>3.496029493900505</v>
      </c>
    </row>
    <row r="12" spans="1:12" x14ac:dyDescent="0.25">
      <c r="A12" s="137" t="s">
        <v>252</v>
      </c>
      <c r="B12" s="138">
        <v>7</v>
      </c>
      <c r="C12" s="138">
        <v>10</v>
      </c>
      <c r="D12" s="138">
        <v>2</v>
      </c>
      <c r="E12" s="138">
        <v>3</v>
      </c>
      <c r="F12" s="138">
        <v>3</v>
      </c>
      <c r="G12" s="138">
        <v>4</v>
      </c>
      <c r="H12" s="138">
        <v>9</v>
      </c>
      <c r="I12" s="138">
        <v>5</v>
      </c>
      <c r="J12" s="138">
        <v>3</v>
      </c>
      <c r="K12" s="141">
        <f t="shared" si="0"/>
        <v>5.1111111111111107</v>
      </c>
      <c r="L12" s="141">
        <f t="shared" si="1"/>
        <v>2.7261875880856214</v>
      </c>
    </row>
    <row r="13" spans="1:12" x14ac:dyDescent="0.25">
      <c r="A13" s="135" t="s">
        <v>253</v>
      </c>
      <c r="B13" s="136">
        <v>6</v>
      </c>
      <c r="C13" s="136">
        <v>5</v>
      </c>
      <c r="D13" s="136">
        <v>6</v>
      </c>
      <c r="E13" s="136">
        <v>4</v>
      </c>
      <c r="F13" s="136">
        <v>5</v>
      </c>
      <c r="G13" s="136">
        <v>4</v>
      </c>
      <c r="H13" s="136">
        <v>5</v>
      </c>
      <c r="I13" s="136">
        <v>3</v>
      </c>
      <c r="J13" s="136">
        <v>6</v>
      </c>
      <c r="K13" s="142">
        <f t="shared" si="0"/>
        <v>4.8888888888888893</v>
      </c>
      <c r="L13" s="142">
        <f t="shared" si="1"/>
        <v>0.99380798999990649</v>
      </c>
    </row>
    <row r="14" spans="1:12" x14ac:dyDescent="0.25">
      <c r="A14" s="137" t="s">
        <v>249</v>
      </c>
      <c r="B14" s="138">
        <v>1</v>
      </c>
      <c r="C14" s="138">
        <v>4</v>
      </c>
      <c r="D14" s="138">
        <v>8</v>
      </c>
      <c r="E14" s="138">
        <v>8</v>
      </c>
      <c r="F14" s="138">
        <v>5</v>
      </c>
      <c r="G14" s="138">
        <v>4</v>
      </c>
      <c r="H14" s="138">
        <v>3</v>
      </c>
      <c r="I14" s="138">
        <v>4</v>
      </c>
      <c r="J14" s="138">
        <v>2</v>
      </c>
      <c r="K14" s="141">
        <f t="shared" si="0"/>
        <v>4.333333333333333</v>
      </c>
      <c r="L14" s="141">
        <f t="shared" si="1"/>
        <v>2.2607766610417559</v>
      </c>
    </row>
    <row r="15" spans="1:12" x14ac:dyDescent="0.25">
      <c r="A15" s="135" t="s">
        <v>250</v>
      </c>
      <c r="B15" s="136">
        <v>1</v>
      </c>
      <c r="C15" s="136">
        <v>7</v>
      </c>
      <c r="D15" s="136">
        <v>3</v>
      </c>
      <c r="E15" s="136">
        <v>6</v>
      </c>
      <c r="F15" s="136">
        <v>6</v>
      </c>
      <c r="G15" s="136">
        <v>9</v>
      </c>
      <c r="H15" s="136">
        <v>5</v>
      </c>
      <c r="I15" s="136">
        <v>7</v>
      </c>
      <c r="J15" s="136">
        <v>9</v>
      </c>
      <c r="K15" s="142">
        <f t="shared" si="0"/>
        <v>5.8888888888888893</v>
      </c>
      <c r="L15" s="142">
        <f t="shared" si="1"/>
        <v>2.4695678634325411</v>
      </c>
    </row>
    <row r="16" spans="1:12" x14ac:dyDescent="0.25">
      <c r="A16" s="144" t="s">
        <v>254</v>
      </c>
      <c r="B16" s="145">
        <f>AVERAGE(B4:B15)</f>
        <v>4</v>
      </c>
      <c r="C16" s="145">
        <f t="shared" ref="C16:J16" si="2">AVERAGE(C4:C15)</f>
        <v>5.833333333333333</v>
      </c>
      <c r="D16" s="145">
        <f t="shared" si="2"/>
        <v>5</v>
      </c>
      <c r="E16" s="145">
        <f t="shared" si="2"/>
        <v>5.583333333333333</v>
      </c>
      <c r="F16" s="145">
        <f t="shared" si="2"/>
        <v>6.083333333333333</v>
      </c>
      <c r="G16" s="145">
        <f t="shared" si="2"/>
        <v>6.25</v>
      </c>
      <c r="H16" s="145">
        <f t="shared" si="2"/>
        <v>5.75</v>
      </c>
      <c r="I16" s="145">
        <f t="shared" si="2"/>
        <v>4</v>
      </c>
      <c r="J16" s="145">
        <f t="shared" si="2"/>
        <v>5.833333333333333</v>
      </c>
    </row>
  </sheetData>
  <conditionalFormatting sqref="L4:L15">
    <cfRule type="dataBar" priority="1">
      <dataBar>
        <cfvo type="min"/>
        <cfvo type="max"/>
        <color rgb="FFFF555A"/>
      </dataBar>
    </cfRule>
    <cfRule type="top10" dxfId="3" priority="9" bottom="1" rank="3"/>
    <cfRule type="top10" dxfId="2" priority="11" rank="3"/>
  </conditionalFormatting>
  <conditionalFormatting sqref="K4:K15">
    <cfRule type="dataBar" priority="2">
      <dataBar>
        <cfvo type="min"/>
        <cfvo type="max"/>
        <color rgb="FFFFB628"/>
      </dataBar>
    </cfRule>
    <cfRule type="top10" dxfId="1" priority="7" bottom="1" rank="3"/>
    <cfRule type="top10" dxfId="0" priority="8" rank="3"/>
  </conditionalFormatting>
  <pageMargins left="0.31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0"/>
  <sheetViews>
    <sheetView workbookViewId="0"/>
  </sheetViews>
  <sheetFormatPr defaultRowHeight="15" x14ac:dyDescent="0.25"/>
  <cols>
    <col min="1" max="1" width="17.7109375" customWidth="1"/>
    <col min="7" max="7" width="1.140625" customWidth="1"/>
  </cols>
  <sheetData>
    <row r="1" spans="1:8" ht="18.75" x14ac:dyDescent="0.3">
      <c r="A1" s="143" t="s">
        <v>261</v>
      </c>
    </row>
    <row r="3" spans="1:8" x14ac:dyDescent="0.25">
      <c r="A3" s="154" t="s">
        <v>285</v>
      </c>
      <c r="B3" s="155">
        <v>1</v>
      </c>
      <c r="C3" s="155">
        <v>3</v>
      </c>
      <c r="D3" s="155">
        <v>7</v>
      </c>
      <c r="E3" s="155">
        <v>2</v>
      </c>
      <c r="F3" s="155">
        <v>5</v>
      </c>
      <c r="G3" s="37">
        <v>4</v>
      </c>
    </row>
    <row r="4" spans="1:8" x14ac:dyDescent="0.25">
      <c r="A4" s="153"/>
      <c r="B4" s="37"/>
      <c r="C4" s="37"/>
      <c r="D4" s="37"/>
      <c r="E4" s="37"/>
      <c r="F4" s="37"/>
      <c r="G4" s="37"/>
    </row>
    <row r="5" spans="1:8" x14ac:dyDescent="0.25">
      <c r="A5" s="153" t="s">
        <v>283</v>
      </c>
      <c r="B5" s="37">
        <f>MIN(B3:F3)</f>
        <v>1</v>
      </c>
      <c r="C5" s="63" t="s">
        <v>292</v>
      </c>
    </row>
    <row r="6" spans="1:8" x14ac:dyDescent="0.25">
      <c r="A6" s="153" t="s">
        <v>284</v>
      </c>
      <c r="B6" s="37">
        <f>MAX(B3:F3)</f>
        <v>7</v>
      </c>
      <c r="C6" s="63" t="s">
        <v>293</v>
      </c>
    </row>
    <row r="7" spans="1:8" x14ac:dyDescent="0.25">
      <c r="A7" s="153" t="s">
        <v>278</v>
      </c>
      <c r="B7" s="37">
        <f>SMALL(B3:F3,2)</f>
        <v>2</v>
      </c>
      <c r="C7" s="63" t="s">
        <v>294</v>
      </c>
      <c r="E7" t="s">
        <v>286</v>
      </c>
      <c r="H7">
        <f>SUM(SMALL(B3:F3,{1,2,3}))</f>
        <v>6</v>
      </c>
    </row>
    <row r="8" spans="1:8" x14ac:dyDescent="0.25">
      <c r="A8" s="153" t="s">
        <v>279</v>
      </c>
      <c r="B8" s="37">
        <f>LARGE(B3:F3,2)</f>
        <v>5</v>
      </c>
      <c r="C8" s="63" t="s">
        <v>295</v>
      </c>
      <c r="E8" t="s">
        <v>287</v>
      </c>
      <c r="H8">
        <f>SUM(LARGE(B3:F3,{1,2,3}))</f>
        <v>15</v>
      </c>
    </row>
    <row r="10" spans="1:8" x14ac:dyDescent="0.25">
      <c r="A10" s="147" t="s">
        <v>269</v>
      </c>
      <c r="B10" s="148">
        <v>0.3125</v>
      </c>
      <c r="C10" s="146"/>
    </row>
    <row r="11" spans="1:8" ht="12.75" customHeight="1" x14ac:dyDescent="0.25"/>
    <row r="12" spans="1:8" x14ac:dyDescent="0.25">
      <c r="A12" s="120" t="s">
        <v>262</v>
      </c>
    </row>
    <row r="13" spans="1:8" x14ac:dyDescent="0.25">
      <c r="B13" s="149" t="s">
        <v>270</v>
      </c>
      <c r="C13" s="149" t="s">
        <v>271</v>
      </c>
      <c r="D13" s="149" t="s">
        <v>272</v>
      </c>
      <c r="E13" s="149" t="s">
        <v>273</v>
      </c>
      <c r="F13" s="149" t="s">
        <v>274</v>
      </c>
      <c r="H13" s="150" t="s">
        <v>16</v>
      </c>
    </row>
    <row r="14" spans="1:8" x14ac:dyDescent="0.25">
      <c r="A14" t="s">
        <v>263</v>
      </c>
      <c r="B14" s="146">
        <v>0.35416666666666669</v>
      </c>
      <c r="C14" s="146">
        <v>0.35416666666666669</v>
      </c>
      <c r="D14" s="146">
        <v>0.35416666666666669</v>
      </c>
      <c r="E14" s="146">
        <v>0.33333333333333331</v>
      </c>
      <c r="F14" s="146">
        <v>0.35416666666666669</v>
      </c>
      <c r="G14" s="146"/>
      <c r="H14" s="146"/>
    </row>
    <row r="15" spans="1:8" x14ac:dyDescent="0.25">
      <c r="A15" t="s">
        <v>264</v>
      </c>
      <c r="B15" s="146">
        <v>0.52083333333333337</v>
      </c>
      <c r="C15" s="146">
        <v>0.52083333333333337</v>
      </c>
      <c r="D15" s="146">
        <v>0.52083333333333337</v>
      </c>
      <c r="E15" s="146">
        <v>0.51041666666666663</v>
      </c>
      <c r="F15" s="146">
        <v>0.52083333333333337</v>
      </c>
      <c r="G15" s="146"/>
      <c r="H15" s="146"/>
    </row>
    <row r="16" spans="1:8" ht="7.5" customHeight="1" x14ac:dyDescent="0.25">
      <c r="B16" s="146"/>
      <c r="C16" s="146"/>
      <c r="D16" s="146"/>
      <c r="E16" s="146"/>
      <c r="F16" s="146"/>
      <c r="G16" s="146"/>
      <c r="H16" s="146"/>
    </row>
    <row r="17" spans="1:9" x14ac:dyDescent="0.25">
      <c r="A17" t="s">
        <v>265</v>
      </c>
      <c r="B17" s="146">
        <v>0.54166666666666663</v>
      </c>
      <c r="C17" s="146">
        <v>0.54166666666666663</v>
      </c>
      <c r="D17" s="146">
        <v>0.5625</v>
      </c>
      <c r="E17" s="146">
        <v>0.54166666666666663</v>
      </c>
      <c r="F17" s="146">
        <v>0.54166666666666663</v>
      </c>
      <c r="G17" s="146"/>
      <c r="H17" s="146"/>
    </row>
    <row r="18" spans="1:9" x14ac:dyDescent="0.25">
      <c r="A18" t="s">
        <v>266</v>
      </c>
      <c r="B18" s="146">
        <v>0.76041666666666663</v>
      </c>
      <c r="C18" s="146">
        <v>0.70833333333333337</v>
      </c>
      <c r="D18" s="146">
        <v>0.71875</v>
      </c>
      <c r="E18" s="146">
        <v>0.72916666666666663</v>
      </c>
      <c r="F18" s="146">
        <v>0.66666666666666663</v>
      </c>
      <c r="G18" s="146"/>
      <c r="H18" s="146"/>
    </row>
    <row r="19" spans="1:9" ht="9.75" customHeight="1" x14ac:dyDescent="0.25">
      <c r="B19" s="146"/>
      <c r="C19" s="146"/>
      <c r="D19" s="146"/>
      <c r="E19" s="146"/>
      <c r="F19" s="146"/>
      <c r="G19" s="146"/>
      <c r="H19" s="146"/>
    </row>
    <row r="20" spans="1:9" x14ac:dyDescent="0.25">
      <c r="A20" t="s">
        <v>275</v>
      </c>
      <c r="B20" s="146">
        <f>MIN($B$10,B22)</f>
        <v>0.3125</v>
      </c>
      <c r="C20" s="146">
        <f t="shared" ref="C20:F20" si="0">MIN($B$10,C22)</f>
        <v>0.3125</v>
      </c>
      <c r="D20" s="146">
        <f t="shared" si="0"/>
        <v>0.3125</v>
      </c>
      <c r="E20" s="146">
        <f t="shared" si="0"/>
        <v>0.3125</v>
      </c>
      <c r="F20" s="146">
        <f t="shared" si="0"/>
        <v>0.29166666666666663</v>
      </c>
      <c r="G20" s="146"/>
      <c r="H20" s="146">
        <f>SUM(B20:F20)</f>
        <v>1.5416666666666665</v>
      </c>
    </row>
    <row r="21" spans="1:9" x14ac:dyDescent="0.25">
      <c r="A21" s="151" t="s">
        <v>268</v>
      </c>
      <c r="B21" s="152">
        <f>MAX(0,B22-$B$10)</f>
        <v>7.291666666666663E-2</v>
      </c>
      <c r="C21" s="152">
        <f>MAX(0,C22-$B$10)</f>
        <v>2.083333333333337E-2</v>
      </c>
      <c r="D21" s="152">
        <f>MAX(0,D22-$B$10)</f>
        <v>1.0416666666666741E-2</v>
      </c>
      <c r="E21" s="152">
        <f>MAX(0,E22-$B$10)</f>
        <v>5.208333333333337E-2</v>
      </c>
      <c r="F21" s="152">
        <f>MAX(0,F22-$B$10)</f>
        <v>0</v>
      </c>
      <c r="G21" s="146"/>
      <c r="H21" s="152">
        <f>SUM(B21:F21)</f>
        <v>0.15625000000000011</v>
      </c>
    </row>
    <row r="22" spans="1:9" x14ac:dyDescent="0.25">
      <c r="A22" t="s">
        <v>267</v>
      </c>
      <c r="B22" s="146">
        <f>B15-B14+B18-B17</f>
        <v>0.38541666666666663</v>
      </c>
      <c r="C22" s="146">
        <f t="shared" ref="C22:F22" si="1">C15-C14+C18-C17</f>
        <v>0.33333333333333337</v>
      </c>
      <c r="D22" s="146">
        <f t="shared" si="1"/>
        <v>0.32291666666666674</v>
      </c>
      <c r="E22" s="146">
        <f t="shared" si="1"/>
        <v>0.36458333333333337</v>
      </c>
      <c r="F22" s="146">
        <f t="shared" si="1"/>
        <v>0.29166666666666663</v>
      </c>
      <c r="G22" s="146"/>
      <c r="H22" s="146">
        <f>SUM(B22:F22)</f>
        <v>1.6979166666666665</v>
      </c>
    </row>
    <row r="24" spans="1:9" x14ac:dyDescent="0.25">
      <c r="A24" t="s">
        <v>276</v>
      </c>
      <c r="B24" s="1">
        <f>MAX(B22:F22)</f>
        <v>0.38541666666666663</v>
      </c>
      <c r="C24" s="63" t="s">
        <v>288</v>
      </c>
      <c r="I24" s="1"/>
    </row>
    <row r="25" spans="1:9" x14ac:dyDescent="0.25">
      <c r="A25" t="s">
        <v>277</v>
      </c>
      <c r="B25" s="1">
        <f>MIN(B22:F22)</f>
        <v>0.29166666666666663</v>
      </c>
      <c r="C25" s="63" t="s">
        <v>289</v>
      </c>
    </row>
    <row r="27" spans="1:9" x14ac:dyDescent="0.25">
      <c r="A27" t="s">
        <v>278</v>
      </c>
      <c r="B27" s="146">
        <f>SMALL(B21:F21,3)</f>
        <v>2.083333333333337E-2</v>
      </c>
      <c r="C27" s="63" t="s">
        <v>290</v>
      </c>
      <c r="E27" t="s">
        <v>280</v>
      </c>
    </row>
    <row r="28" spans="1:9" x14ac:dyDescent="0.25">
      <c r="A28" t="s">
        <v>279</v>
      </c>
      <c r="B28" s="146">
        <f>LARGE(B21:F21,2)</f>
        <v>5.208333333333337E-2</v>
      </c>
      <c r="C28" s="63" t="s">
        <v>291</v>
      </c>
      <c r="E28" t="s">
        <v>281</v>
      </c>
    </row>
    <row r="29" spans="1:9" x14ac:dyDescent="0.25">
      <c r="B29" s="146"/>
    </row>
    <row r="30" spans="1:9" x14ac:dyDescent="0.25">
      <c r="A30" t="s">
        <v>282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7"/>
  <sheetViews>
    <sheetView workbookViewId="0"/>
  </sheetViews>
  <sheetFormatPr defaultRowHeight="15" x14ac:dyDescent="0.25"/>
  <cols>
    <col min="1" max="1" width="11.140625" customWidth="1"/>
    <col min="2" max="2" width="12.5703125" customWidth="1"/>
    <col min="3" max="3" width="31" customWidth="1"/>
    <col min="4" max="4" width="31" bestFit="1" customWidth="1"/>
    <col min="5" max="5" width="3.140625" customWidth="1"/>
    <col min="6" max="6" width="10.85546875" customWidth="1"/>
    <col min="8" max="8" width="2.5703125" customWidth="1"/>
    <col min="9" max="9" width="9.85546875" customWidth="1"/>
  </cols>
  <sheetData>
    <row r="1" spans="1:11" ht="18.75" x14ac:dyDescent="0.3">
      <c r="A1" s="143" t="s">
        <v>296</v>
      </c>
      <c r="C1" s="37"/>
      <c r="D1" s="37"/>
    </row>
    <row r="2" spans="1:11" x14ac:dyDescent="0.25">
      <c r="C2" s="159" t="s">
        <v>300</v>
      </c>
      <c r="D2" s="160" t="s">
        <v>301</v>
      </c>
      <c r="F2" s="262" t="s">
        <v>305</v>
      </c>
      <c r="G2" s="262"/>
      <c r="H2" s="262"/>
      <c r="I2" s="262"/>
      <c r="J2" s="262"/>
      <c r="K2" s="262"/>
    </row>
    <row r="3" spans="1:11" x14ac:dyDescent="0.25">
      <c r="A3" t="s">
        <v>297</v>
      </c>
      <c r="C3" s="161">
        <v>36</v>
      </c>
      <c r="D3" s="162">
        <v>60</v>
      </c>
    </row>
    <row r="4" spans="1:11" x14ac:dyDescent="0.25">
      <c r="A4" t="s">
        <v>298</v>
      </c>
      <c r="C4" s="163">
        <v>57</v>
      </c>
      <c r="D4" s="164">
        <v>54</v>
      </c>
      <c r="F4" s="261" t="s">
        <v>321</v>
      </c>
      <c r="G4" s="261"/>
      <c r="I4" s="261" t="s">
        <v>322</v>
      </c>
      <c r="J4" s="261"/>
      <c r="K4" s="261"/>
    </row>
    <row r="5" spans="1:11" x14ac:dyDescent="0.25">
      <c r="A5" t="s">
        <v>299</v>
      </c>
      <c r="C5" s="161">
        <v>60</v>
      </c>
      <c r="D5" s="162">
        <v>59</v>
      </c>
      <c r="F5" s="158" t="s">
        <v>320</v>
      </c>
      <c r="G5" s="158" t="s">
        <v>312</v>
      </c>
      <c r="I5" s="157" t="s">
        <v>313</v>
      </c>
      <c r="J5" s="158" t="s">
        <v>320</v>
      </c>
      <c r="K5" s="158" t="s">
        <v>312</v>
      </c>
    </row>
    <row r="6" spans="1:11" x14ac:dyDescent="0.25">
      <c r="C6" s="163">
        <v>34</v>
      </c>
      <c r="D6" s="164">
        <v>30</v>
      </c>
      <c r="F6" s="37">
        <v>1</v>
      </c>
      <c r="G6" s="25" t="s">
        <v>306</v>
      </c>
      <c r="I6" t="s">
        <v>314</v>
      </c>
      <c r="J6" s="37">
        <v>1</v>
      </c>
      <c r="K6" s="37" t="str">
        <f>CHOOSE(J6,$G$6,$G$7,$G$8,$G$9,$G$10,$G$11)</f>
        <v>A</v>
      </c>
    </row>
    <row r="7" spans="1:11" x14ac:dyDescent="0.25">
      <c r="A7" s="63" t="s">
        <v>302</v>
      </c>
      <c r="C7" s="161">
        <v>30</v>
      </c>
      <c r="D7" s="162">
        <v>43</v>
      </c>
      <c r="F7" s="37">
        <v>2</v>
      </c>
      <c r="G7" s="25" t="s">
        <v>307</v>
      </c>
      <c r="I7" t="s">
        <v>315</v>
      </c>
      <c r="J7" s="37">
        <v>5</v>
      </c>
      <c r="K7" s="37" t="str">
        <f t="shared" ref="K7:K11" si="0">CHOOSE(J7,$G$6,$G$7,$G$8,$G$9,$G$10,$G$11)</f>
        <v>E</v>
      </c>
    </row>
    <row r="8" spans="1:11" x14ac:dyDescent="0.25">
      <c r="A8" s="120" t="str">
        <f>CHOOSE(3,A3,A4,A5)</f>
        <v>Orange</v>
      </c>
      <c r="C8" s="163">
        <v>26</v>
      </c>
      <c r="D8" s="164">
        <v>46</v>
      </c>
      <c r="F8" s="37">
        <v>3</v>
      </c>
      <c r="G8" s="25" t="s">
        <v>308</v>
      </c>
      <c r="H8" s="25"/>
      <c r="I8" t="s">
        <v>316</v>
      </c>
      <c r="J8" s="37">
        <v>1</v>
      </c>
      <c r="K8" s="37" t="str">
        <f t="shared" si="0"/>
        <v>A</v>
      </c>
    </row>
    <row r="9" spans="1:11" x14ac:dyDescent="0.25">
      <c r="C9" s="161">
        <v>58</v>
      </c>
      <c r="D9" s="162">
        <v>56</v>
      </c>
      <c r="F9" s="37">
        <v>4</v>
      </c>
      <c r="G9" s="25" t="s">
        <v>309</v>
      </c>
      <c r="H9" s="25"/>
      <c r="I9" t="s">
        <v>317</v>
      </c>
      <c r="J9" s="37">
        <v>4</v>
      </c>
      <c r="K9" s="37" t="str">
        <f t="shared" si="0"/>
        <v>D</v>
      </c>
    </row>
    <row r="10" spans="1:11" x14ac:dyDescent="0.25">
      <c r="C10" s="165">
        <v>30</v>
      </c>
      <c r="D10" s="166">
        <v>47</v>
      </c>
      <c r="F10" s="37">
        <v>5</v>
      </c>
      <c r="G10" s="25" t="s">
        <v>310</v>
      </c>
      <c r="H10" s="25"/>
      <c r="I10" t="s">
        <v>318</v>
      </c>
      <c r="J10" s="37">
        <v>3</v>
      </c>
      <c r="K10" s="37" t="str">
        <f t="shared" si="0"/>
        <v>C</v>
      </c>
    </row>
    <row r="11" spans="1:11" x14ac:dyDescent="0.25">
      <c r="F11" s="37">
        <v>6</v>
      </c>
      <c r="G11" s="25" t="s">
        <v>311</v>
      </c>
      <c r="H11" s="25"/>
      <c r="I11" t="s">
        <v>319</v>
      </c>
      <c r="J11" s="37">
        <v>2</v>
      </c>
      <c r="K11" s="37" t="str">
        <f t="shared" si="0"/>
        <v>B</v>
      </c>
    </row>
    <row r="12" spans="1:11" x14ac:dyDescent="0.25">
      <c r="C12" s="156">
        <f>SUM(CHOOSE(1,C3:C10,D3:D10))</f>
        <v>331</v>
      </c>
      <c r="D12" s="37">
        <f>SUM(CHOOSE(2,C3:C10,D3:D10))</f>
        <v>395</v>
      </c>
    </row>
    <row r="13" spans="1:11" x14ac:dyDescent="0.25">
      <c r="C13" s="63" t="s">
        <v>303</v>
      </c>
      <c r="D13" s="63" t="s">
        <v>304</v>
      </c>
    </row>
    <row r="17" ht="9" customHeight="1" x14ac:dyDescent="0.25"/>
  </sheetData>
  <mergeCells count="3">
    <mergeCell ref="F4:G4"/>
    <mergeCell ref="I4:K4"/>
    <mergeCell ref="F2:K2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36"/>
  <sheetViews>
    <sheetView workbookViewId="0">
      <selection activeCell="A5" sqref="A5:A9"/>
    </sheetView>
  </sheetViews>
  <sheetFormatPr defaultRowHeight="15" x14ac:dyDescent="0.25"/>
  <cols>
    <col min="1" max="5" width="11.7109375" customWidth="1"/>
  </cols>
  <sheetData>
    <row r="1" spans="1:16" ht="22.5" customHeight="1" x14ac:dyDescent="0.25">
      <c r="A1" s="184" t="s">
        <v>324</v>
      </c>
      <c r="B1" s="183"/>
      <c r="C1" s="183"/>
      <c r="D1" s="183"/>
      <c r="E1" s="183"/>
    </row>
    <row r="3" spans="1:16" x14ac:dyDescent="0.25">
      <c r="A3" s="120" t="s">
        <v>338</v>
      </c>
    </row>
    <row r="4" spans="1:16" ht="30" x14ac:dyDescent="0.25">
      <c r="A4" s="169" t="s">
        <v>328</v>
      </c>
      <c r="B4" s="169" t="s">
        <v>334</v>
      </c>
      <c r="C4" s="169" t="s">
        <v>325</v>
      </c>
      <c r="D4" s="169" t="s">
        <v>326</v>
      </c>
      <c r="E4" s="170" t="s">
        <v>327</v>
      </c>
    </row>
    <row r="5" spans="1:16" x14ac:dyDescent="0.25">
      <c r="A5" s="171" t="s">
        <v>329</v>
      </c>
      <c r="B5" s="172">
        <v>4.8</v>
      </c>
      <c r="C5" s="173">
        <v>0.1</v>
      </c>
      <c r="D5" s="172">
        <f>B5*(1-C5)</f>
        <v>4.32</v>
      </c>
      <c r="E5" s="174">
        <f>FLOOR(D5,0.05)</f>
        <v>4.3</v>
      </c>
      <c r="F5" s="168"/>
      <c r="I5" s="167"/>
    </row>
    <row r="6" spans="1:16" x14ac:dyDescent="0.25">
      <c r="A6" s="175" t="s">
        <v>330</v>
      </c>
      <c r="B6" s="176">
        <v>6.25</v>
      </c>
      <c r="C6" s="177">
        <v>0.25</v>
      </c>
      <c r="D6" s="176">
        <f t="shared" ref="D6:D9" si="0">B6*(1-C6)</f>
        <v>4.6875</v>
      </c>
      <c r="E6" s="178">
        <f t="shared" ref="E6:E9" si="1">FLOOR(D6,0.05)</f>
        <v>4.6500000000000004</v>
      </c>
      <c r="I6" s="167"/>
    </row>
    <row r="7" spans="1:16" x14ac:dyDescent="0.25">
      <c r="A7" s="171" t="s">
        <v>331</v>
      </c>
      <c r="B7" s="172">
        <v>5.75</v>
      </c>
      <c r="C7" s="173">
        <v>0.15</v>
      </c>
      <c r="D7" s="172">
        <f t="shared" si="0"/>
        <v>4.8875000000000002</v>
      </c>
      <c r="E7" s="174">
        <f t="shared" si="1"/>
        <v>4.8500000000000005</v>
      </c>
      <c r="I7" s="167"/>
    </row>
    <row r="8" spans="1:16" x14ac:dyDescent="0.25">
      <c r="A8" s="175" t="s">
        <v>332</v>
      </c>
      <c r="B8" s="176">
        <v>4.3</v>
      </c>
      <c r="C8" s="177">
        <v>7.4999999999999997E-2</v>
      </c>
      <c r="D8" s="176">
        <f t="shared" si="0"/>
        <v>3.9775</v>
      </c>
      <c r="E8" s="178">
        <f t="shared" si="1"/>
        <v>3.95</v>
      </c>
    </row>
    <row r="9" spans="1:16" x14ac:dyDescent="0.25">
      <c r="A9" s="179" t="s">
        <v>333</v>
      </c>
      <c r="B9" s="180">
        <v>2.2000000000000002</v>
      </c>
      <c r="C9" s="181">
        <v>0.12</v>
      </c>
      <c r="D9" s="180">
        <f t="shared" si="0"/>
        <v>1.9360000000000002</v>
      </c>
      <c r="E9" s="182">
        <f t="shared" si="1"/>
        <v>1.9000000000000001</v>
      </c>
      <c r="O9" s="126"/>
      <c r="P9" s="126"/>
    </row>
    <row r="11" spans="1:16" x14ac:dyDescent="0.25">
      <c r="A11" t="s">
        <v>335</v>
      </c>
    </row>
    <row r="13" spans="1:16" x14ac:dyDescent="0.25">
      <c r="A13" s="120" t="s">
        <v>337</v>
      </c>
    </row>
    <row r="14" spans="1:16" ht="34.5" customHeight="1" x14ac:dyDescent="0.25">
      <c r="A14" s="169" t="s">
        <v>328</v>
      </c>
      <c r="B14" s="169" t="s">
        <v>334</v>
      </c>
      <c r="C14" s="169" t="s">
        <v>325</v>
      </c>
      <c r="D14" s="169" t="s">
        <v>326</v>
      </c>
      <c r="E14" s="170" t="s">
        <v>327</v>
      </c>
    </row>
    <row r="15" spans="1:16" x14ac:dyDescent="0.25">
      <c r="A15" s="171" t="s">
        <v>329</v>
      </c>
      <c r="B15" s="172">
        <v>4.8</v>
      </c>
      <c r="C15" s="173">
        <v>0.1</v>
      </c>
      <c r="D15" s="172">
        <f>B15*(1-C15)</f>
        <v>4.32</v>
      </c>
      <c r="E15" s="174">
        <f>CEILING(D15,0.05)</f>
        <v>4.3500000000000005</v>
      </c>
    </row>
    <row r="16" spans="1:16" x14ac:dyDescent="0.25">
      <c r="A16" s="175" t="s">
        <v>330</v>
      </c>
      <c r="B16" s="176">
        <v>6.25</v>
      </c>
      <c r="C16" s="177">
        <v>0.25</v>
      </c>
      <c r="D16" s="176">
        <f t="shared" ref="D16:D19" si="2">B16*(1-C16)</f>
        <v>4.6875</v>
      </c>
      <c r="E16" s="178">
        <f t="shared" ref="E16:E19" si="3">CEILING(D16,0.05)</f>
        <v>4.7</v>
      </c>
    </row>
    <row r="17" spans="1:8" x14ac:dyDescent="0.25">
      <c r="A17" s="171" t="s">
        <v>331</v>
      </c>
      <c r="B17" s="172">
        <v>5.75</v>
      </c>
      <c r="C17" s="173">
        <v>0.15</v>
      </c>
      <c r="D17" s="172">
        <f t="shared" si="2"/>
        <v>4.8875000000000002</v>
      </c>
      <c r="E17" s="174">
        <f t="shared" si="3"/>
        <v>4.9000000000000004</v>
      </c>
    </row>
    <row r="18" spans="1:8" x14ac:dyDescent="0.25">
      <c r="A18" s="175" t="s">
        <v>332</v>
      </c>
      <c r="B18" s="176">
        <v>4.3</v>
      </c>
      <c r="C18" s="177">
        <v>7.4999999999999997E-2</v>
      </c>
      <c r="D18" s="176">
        <f t="shared" si="2"/>
        <v>3.9775</v>
      </c>
      <c r="E18" s="178">
        <f t="shared" si="3"/>
        <v>4</v>
      </c>
    </row>
    <row r="19" spans="1:8" x14ac:dyDescent="0.25">
      <c r="A19" s="179" t="s">
        <v>333</v>
      </c>
      <c r="B19" s="180">
        <v>2.2000000000000002</v>
      </c>
      <c r="C19" s="181">
        <v>0.12</v>
      </c>
      <c r="D19" s="180">
        <f t="shared" si="2"/>
        <v>1.9360000000000002</v>
      </c>
      <c r="E19" s="182">
        <f t="shared" si="3"/>
        <v>1.9500000000000002</v>
      </c>
    </row>
    <row r="21" spans="1:8" x14ac:dyDescent="0.25">
      <c r="A21" t="s">
        <v>336</v>
      </c>
    </row>
    <row r="23" spans="1:8" x14ac:dyDescent="0.25">
      <c r="A23" s="120" t="s">
        <v>339</v>
      </c>
    </row>
    <row r="24" spans="1:8" ht="30" x14ac:dyDescent="0.25">
      <c r="A24" s="169" t="s">
        <v>328</v>
      </c>
      <c r="B24" s="169" t="s">
        <v>334</v>
      </c>
      <c r="C24" s="169" t="s">
        <v>325</v>
      </c>
      <c r="D24" s="169" t="s">
        <v>326</v>
      </c>
      <c r="E24" s="170" t="s">
        <v>327</v>
      </c>
    </row>
    <row r="25" spans="1:8" x14ac:dyDescent="0.25">
      <c r="A25" s="171" t="s">
        <v>329</v>
      </c>
      <c r="B25" s="172">
        <v>4.8</v>
      </c>
      <c r="C25" s="173">
        <v>0.1</v>
      </c>
      <c r="D25" s="172">
        <f>B25*(1-C25)</f>
        <v>4.32</v>
      </c>
      <c r="E25" s="174">
        <f>FLOOR(D25,1)+IF(CEILING(D25,1)-(D25)&lt;0.5,0.97,0.47)</f>
        <v>4.47</v>
      </c>
      <c r="G25" s="168"/>
      <c r="H25" s="185"/>
    </row>
    <row r="26" spans="1:8" x14ac:dyDescent="0.25">
      <c r="A26" s="175" t="s">
        <v>330</v>
      </c>
      <c r="B26" s="176">
        <v>6.25</v>
      </c>
      <c r="C26" s="177">
        <v>0.25</v>
      </c>
      <c r="D26" s="176">
        <f t="shared" ref="D26:D29" si="4">B26*(1-C26)</f>
        <v>4.6875</v>
      </c>
      <c r="E26" s="178">
        <f t="shared" ref="E26:E29" si="5">FLOOR(D26,1)+IF(CEILING(D26,1)-(D26)&lt;0.5,0.97,0.47)</f>
        <v>4.97</v>
      </c>
      <c r="G26" s="168"/>
    </row>
    <row r="27" spans="1:8" x14ac:dyDescent="0.25">
      <c r="A27" s="171" t="s">
        <v>331</v>
      </c>
      <c r="B27" s="172">
        <v>5.75</v>
      </c>
      <c r="C27" s="173">
        <v>0.15</v>
      </c>
      <c r="D27" s="172">
        <f t="shared" si="4"/>
        <v>4.8875000000000002</v>
      </c>
      <c r="E27" s="174">
        <f t="shared" si="5"/>
        <v>4.97</v>
      </c>
      <c r="G27" s="168"/>
    </row>
    <row r="28" spans="1:8" x14ac:dyDescent="0.25">
      <c r="A28" s="175" t="s">
        <v>332</v>
      </c>
      <c r="B28" s="176">
        <v>4.3</v>
      </c>
      <c r="C28" s="177">
        <v>7.4999999999999997E-2</v>
      </c>
      <c r="D28" s="176">
        <f t="shared" si="4"/>
        <v>3.9775</v>
      </c>
      <c r="E28" s="178">
        <f t="shared" si="5"/>
        <v>3.9699999999999998</v>
      </c>
      <c r="G28" s="168"/>
    </row>
    <row r="29" spans="1:8" x14ac:dyDescent="0.25">
      <c r="A29" s="179" t="s">
        <v>333</v>
      </c>
      <c r="B29" s="180">
        <v>2.2000000000000002</v>
      </c>
      <c r="C29" s="181">
        <v>0.12</v>
      </c>
      <c r="D29" s="180">
        <f t="shared" si="4"/>
        <v>1.9360000000000002</v>
      </c>
      <c r="E29" s="182">
        <f t="shared" si="5"/>
        <v>1.97</v>
      </c>
      <c r="G29" s="168"/>
    </row>
    <row r="31" spans="1:8" x14ac:dyDescent="0.25">
      <c r="A31" s="186" t="s">
        <v>342</v>
      </c>
    </row>
    <row r="32" spans="1:8" x14ac:dyDescent="0.25">
      <c r="A32" s="63"/>
    </row>
    <row r="33" spans="1:5" x14ac:dyDescent="0.25">
      <c r="A33" s="186" t="s">
        <v>340</v>
      </c>
    </row>
    <row r="34" spans="1:5" x14ac:dyDescent="0.25">
      <c r="A34" s="63"/>
    </row>
    <row r="35" spans="1:5" x14ac:dyDescent="0.25">
      <c r="A35" s="263" t="s">
        <v>341</v>
      </c>
      <c r="B35" s="263"/>
      <c r="C35" s="263"/>
      <c r="D35" s="263"/>
      <c r="E35" s="263"/>
    </row>
    <row r="36" spans="1:5" ht="30.75" customHeight="1" x14ac:dyDescent="0.25">
      <c r="A36" s="263"/>
      <c r="B36" s="263"/>
      <c r="C36" s="263"/>
      <c r="D36" s="263"/>
      <c r="E36" s="263"/>
    </row>
  </sheetData>
  <mergeCells count="1">
    <mergeCell ref="A35:E3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2"/>
  <sheetViews>
    <sheetView workbookViewId="0"/>
  </sheetViews>
  <sheetFormatPr defaultRowHeight="15" x14ac:dyDescent="0.25"/>
  <cols>
    <col min="1" max="4" width="17.42578125" customWidth="1"/>
  </cols>
  <sheetData>
    <row r="1" spans="1:4" ht="18.75" x14ac:dyDescent="0.3">
      <c r="A1" s="143" t="s">
        <v>344</v>
      </c>
    </row>
    <row r="3" spans="1:4" x14ac:dyDescent="0.25">
      <c r="A3" s="147" t="s">
        <v>343</v>
      </c>
    </row>
    <row r="5" spans="1:4" ht="18.75" customHeight="1" x14ac:dyDescent="0.25">
      <c r="A5" s="187" t="s">
        <v>122</v>
      </c>
      <c r="B5" s="187" t="s">
        <v>345</v>
      </c>
      <c r="C5" s="188" t="s">
        <v>346</v>
      </c>
      <c r="D5" s="189" t="s">
        <v>347</v>
      </c>
    </row>
    <row r="6" spans="1:4" ht="18.75" customHeight="1" x14ac:dyDescent="0.25">
      <c r="A6" s="171" t="s">
        <v>348</v>
      </c>
      <c r="B6" s="171" t="str">
        <f>UPPER(A6)</f>
        <v>JOHN JONES</v>
      </c>
      <c r="C6" s="171" t="str">
        <f>LOWER(A6)</f>
        <v>john jones</v>
      </c>
      <c r="D6" s="190" t="str">
        <f>PROPER(A6)</f>
        <v>John Jones</v>
      </c>
    </row>
    <row r="7" spans="1:4" ht="18.75" customHeight="1" x14ac:dyDescent="0.25">
      <c r="A7" s="175" t="s">
        <v>349</v>
      </c>
      <c r="B7" s="175" t="str">
        <f t="shared" ref="B7:B12" si="0">UPPER(A7)</f>
        <v>MARY MOORE</v>
      </c>
      <c r="C7" s="175" t="str">
        <f t="shared" ref="C7:C12" si="1">LOWER(A7)</f>
        <v>mary moore</v>
      </c>
      <c r="D7" s="191" t="str">
        <f t="shared" ref="D7:D12" si="2">PROPER(A7)</f>
        <v>Mary Moore</v>
      </c>
    </row>
    <row r="8" spans="1:4" ht="18.75" customHeight="1" x14ac:dyDescent="0.25">
      <c r="A8" s="171" t="s">
        <v>350</v>
      </c>
      <c r="B8" s="171" t="str">
        <f t="shared" si="0"/>
        <v>FRED FRANCIS</v>
      </c>
      <c r="C8" s="171" t="str">
        <f t="shared" si="1"/>
        <v>fred francis</v>
      </c>
      <c r="D8" s="190" t="str">
        <f t="shared" si="2"/>
        <v>Fred Francis</v>
      </c>
    </row>
    <row r="9" spans="1:4" ht="18.75" customHeight="1" x14ac:dyDescent="0.25">
      <c r="A9" s="175" t="s">
        <v>351</v>
      </c>
      <c r="B9" s="175" t="str">
        <f t="shared" si="0"/>
        <v>WILL WALLACE</v>
      </c>
      <c r="C9" s="175" t="str">
        <f t="shared" si="1"/>
        <v>will wallace</v>
      </c>
      <c r="D9" s="191" t="str">
        <f t="shared" si="2"/>
        <v>Will Wallace</v>
      </c>
    </row>
    <row r="10" spans="1:4" ht="18.75" customHeight="1" x14ac:dyDescent="0.25">
      <c r="A10" s="171" t="s">
        <v>352</v>
      </c>
      <c r="B10" s="171" t="str">
        <f t="shared" si="0"/>
        <v>CRAIG CONNORS</v>
      </c>
      <c r="C10" s="171" t="str">
        <f t="shared" si="1"/>
        <v>craig connors</v>
      </c>
      <c r="D10" s="190" t="str">
        <f t="shared" si="2"/>
        <v>Craig Connors</v>
      </c>
    </row>
    <row r="11" spans="1:4" ht="18.75" customHeight="1" x14ac:dyDescent="0.25">
      <c r="A11" s="175" t="s">
        <v>353</v>
      </c>
      <c r="B11" s="175" t="str">
        <f t="shared" si="0"/>
        <v>ANDREW ALLEY</v>
      </c>
      <c r="C11" s="175" t="str">
        <f t="shared" si="1"/>
        <v>andrew alley</v>
      </c>
      <c r="D11" s="191" t="str">
        <f t="shared" si="2"/>
        <v>Andrew Alley</v>
      </c>
    </row>
    <row r="12" spans="1:4" ht="18.75" customHeight="1" x14ac:dyDescent="0.25">
      <c r="A12" s="179" t="s">
        <v>354</v>
      </c>
      <c r="B12" s="179" t="str">
        <f t="shared" si="0"/>
        <v>DOUG DAVIS</v>
      </c>
      <c r="C12" s="179" t="str">
        <f t="shared" si="1"/>
        <v>doug davis</v>
      </c>
      <c r="D12" s="192" t="str">
        <f t="shared" si="2"/>
        <v>Doug Davis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13"/>
  <sheetViews>
    <sheetView workbookViewId="0">
      <selection activeCell="D7" sqref="D7"/>
    </sheetView>
  </sheetViews>
  <sheetFormatPr defaultRowHeight="15" x14ac:dyDescent="0.25"/>
  <cols>
    <col min="1" max="1" width="26.85546875" customWidth="1"/>
    <col min="2" max="2" width="25.28515625" customWidth="1"/>
    <col min="3" max="3" width="22.28515625" customWidth="1"/>
    <col min="4" max="4" width="22.5703125" bestFit="1" customWidth="1"/>
  </cols>
  <sheetData>
    <row r="1" spans="1:5" ht="18.75" x14ac:dyDescent="0.3">
      <c r="A1" s="143" t="s">
        <v>355</v>
      </c>
      <c r="C1" s="63" t="s">
        <v>365</v>
      </c>
    </row>
    <row r="3" spans="1:5" x14ac:dyDescent="0.25">
      <c r="A3" s="40" t="s">
        <v>362</v>
      </c>
      <c r="B3" s="40" t="s">
        <v>363</v>
      </c>
      <c r="C3" s="40" t="s">
        <v>364</v>
      </c>
    </row>
    <row r="4" spans="1:5" x14ac:dyDescent="0.25">
      <c r="A4" t="s">
        <v>356</v>
      </c>
      <c r="B4" t="s">
        <v>359</v>
      </c>
      <c r="C4" t="str">
        <f>TRIM(B4)</f>
        <v>spaces in front</v>
      </c>
    </row>
    <row r="5" spans="1:5" x14ac:dyDescent="0.25">
      <c r="A5" t="s">
        <v>357</v>
      </c>
      <c r="B5" t="s">
        <v>360</v>
      </c>
      <c r="C5" t="str">
        <f t="shared" ref="C5:C6" si="0">TRIM(B5)</f>
        <v>spaces at the end</v>
      </c>
    </row>
    <row r="6" spans="1:5" x14ac:dyDescent="0.25">
      <c r="A6" t="s">
        <v>358</v>
      </c>
      <c r="B6" t="s">
        <v>361</v>
      </c>
      <c r="C6" t="str">
        <f t="shared" si="0"/>
        <v>spaces in the middle</v>
      </c>
    </row>
    <row r="10" spans="1:5" ht="18.75" x14ac:dyDescent="0.3">
      <c r="A10" s="143" t="s">
        <v>367</v>
      </c>
    </row>
    <row r="12" spans="1:5" x14ac:dyDescent="0.25">
      <c r="A12" s="40" t="s">
        <v>369</v>
      </c>
      <c r="B12" s="40" t="s">
        <v>72</v>
      </c>
      <c r="C12" s="40" t="s">
        <v>370</v>
      </c>
    </row>
    <row r="13" spans="1:5" x14ac:dyDescent="0.25">
      <c r="A13" t="s">
        <v>368</v>
      </c>
      <c r="B13" t="str">
        <f>TRIM(SUBSTITUTE(A13,CHAR(160),CHAR(32)))</f>
        <v>non-breaking space</v>
      </c>
      <c r="C13" s="63" t="s">
        <v>366</v>
      </c>
      <c r="E13" s="19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207"/>
  <sheetViews>
    <sheetView workbookViewId="0">
      <selection activeCell="K25" sqref="K25"/>
    </sheetView>
  </sheetViews>
  <sheetFormatPr defaultRowHeight="15" x14ac:dyDescent="0.25"/>
  <cols>
    <col min="1" max="1" width="9.140625" bestFit="1" customWidth="1"/>
    <col min="2" max="2" width="8.28515625" bestFit="1" customWidth="1"/>
    <col min="3" max="3" width="11" bestFit="1" customWidth="1"/>
    <col min="4" max="4" width="14.28515625" bestFit="1" customWidth="1"/>
    <col min="5" max="5" width="6.140625" bestFit="1" customWidth="1"/>
    <col min="6" max="6" width="10.85546875" bestFit="1" customWidth="1"/>
    <col min="7" max="7" width="14" bestFit="1" customWidth="1"/>
    <col min="8" max="8" width="8.7109375" bestFit="1" customWidth="1"/>
    <col min="9" max="9" width="10.7109375" style="50" bestFit="1" customWidth="1"/>
    <col min="10" max="10" width="6.85546875" customWidth="1"/>
    <col min="11" max="11" width="33.28515625" customWidth="1"/>
    <col min="12" max="12" width="9.7109375" bestFit="1" customWidth="1"/>
    <col min="13" max="13" width="11.5703125" bestFit="1" customWidth="1"/>
  </cols>
  <sheetData>
    <row r="1" spans="1:13" ht="16.5" thickBot="1" x14ac:dyDescent="0.3">
      <c r="A1" s="194" t="s">
        <v>46</v>
      </c>
      <c r="B1" s="195" t="s">
        <v>48</v>
      </c>
      <c r="C1" s="195" t="s">
        <v>49</v>
      </c>
      <c r="D1" s="196" t="s">
        <v>74</v>
      </c>
      <c r="E1" s="195" t="s">
        <v>51</v>
      </c>
      <c r="F1" s="195" t="s">
        <v>53</v>
      </c>
      <c r="G1" s="195" t="s">
        <v>70</v>
      </c>
      <c r="H1" s="195" t="s">
        <v>54</v>
      </c>
      <c r="I1" s="198" t="s">
        <v>377</v>
      </c>
      <c r="K1" s="197" t="s">
        <v>371</v>
      </c>
      <c r="M1" s="203"/>
    </row>
    <row r="2" spans="1:13" ht="15.75" thickTop="1" x14ac:dyDescent="0.25">
      <c r="A2" s="51">
        <v>2.2000000000000002</v>
      </c>
      <c r="B2" s="52">
        <v>32767</v>
      </c>
      <c r="C2" s="52">
        <v>1897144902</v>
      </c>
      <c r="D2" s="68">
        <v>206264</v>
      </c>
      <c r="E2" s="52" t="s">
        <v>55</v>
      </c>
      <c r="F2" s="52">
        <v>1</v>
      </c>
      <c r="G2" s="52" t="s">
        <v>57</v>
      </c>
      <c r="H2" s="52">
        <v>7</v>
      </c>
      <c r="I2" s="54">
        <v>40574</v>
      </c>
      <c r="J2" s="202"/>
      <c r="K2" s="200">
        <f>K25</f>
        <v>7415406.333333333</v>
      </c>
    </row>
    <row r="3" spans="1:13" x14ac:dyDescent="0.25">
      <c r="A3" s="55">
        <v>2.2000000000000002</v>
      </c>
      <c r="B3" s="56">
        <v>32767</v>
      </c>
      <c r="C3" s="56">
        <v>1897171869</v>
      </c>
      <c r="D3" s="69">
        <v>7222425</v>
      </c>
      <c r="E3" s="56" t="s">
        <v>55</v>
      </c>
      <c r="F3" s="56">
        <v>30</v>
      </c>
      <c r="G3" s="56" t="s">
        <v>58</v>
      </c>
      <c r="H3" s="56">
        <v>6</v>
      </c>
      <c r="I3" s="58">
        <v>40572</v>
      </c>
      <c r="J3" s="202"/>
    </row>
    <row r="4" spans="1:13" x14ac:dyDescent="0.25">
      <c r="A4" s="51">
        <v>2.2000000000000002</v>
      </c>
      <c r="B4" s="52">
        <v>32767</v>
      </c>
      <c r="C4" s="52">
        <v>1897212191</v>
      </c>
      <c r="D4" s="68">
        <v>13417</v>
      </c>
      <c r="E4" s="52" t="s">
        <v>55</v>
      </c>
      <c r="F4" s="52">
        <v>3</v>
      </c>
      <c r="G4" s="52" t="s">
        <v>57</v>
      </c>
      <c r="H4" s="52">
        <v>7</v>
      </c>
      <c r="I4" s="54">
        <v>40570</v>
      </c>
      <c r="J4" s="202"/>
      <c r="K4" s="120" t="s">
        <v>373</v>
      </c>
    </row>
    <row r="5" spans="1:13" x14ac:dyDescent="0.25">
      <c r="A5" s="55">
        <v>2.2200000000000002</v>
      </c>
      <c r="B5" s="56">
        <v>32767</v>
      </c>
      <c r="C5" s="56">
        <v>1884185014</v>
      </c>
      <c r="D5" s="69">
        <v>8941606</v>
      </c>
      <c r="E5" s="56" t="s">
        <v>55</v>
      </c>
      <c r="F5" s="56">
        <v>90</v>
      </c>
      <c r="G5" s="56" t="s">
        <v>60</v>
      </c>
      <c r="H5" s="56">
        <v>6</v>
      </c>
      <c r="I5" s="58">
        <v>40568</v>
      </c>
      <c r="J5" s="202"/>
      <c r="K5" s="38">
        <f>SUMPRODUCT((Volume)*(solarSystem="Endrulf"))</f>
        <v>203806887</v>
      </c>
      <c r="L5" s="63" t="s">
        <v>375</v>
      </c>
    </row>
    <row r="6" spans="1:13" x14ac:dyDescent="0.25">
      <c r="A6" s="51">
        <v>2.2200000000000002</v>
      </c>
      <c r="B6" s="52">
        <v>32767</v>
      </c>
      <c r="C6" s="52">
        <v>1884185253</v>
      </c>
      <c r="D6" s="68">
        <v>5217955</v>
      </c>
      <c r="E6" s="52" t="s">
        <v>55</v>
      </c>
      <c r="F6" s="52">
        <v>90</v>
      </c>
      <c r="G6" s="52" t="s">
        <v>60</v>
      </c>
      <c r="H6" s="52">
        <v>6</v>
      </c>
      <c r="I6" s="54">
        <v>40566</v>
      </c>
      <c r="J6" s="202"/>
    </row>
    <row r="7" spans="1:13" x14ac:dyDescent="0.25">
      <c r="A7" s="55">
        <v>2.2200000000000002</v>
      </c>
      <c r="B7" s="56">
        <v>32767</v>
      </c>
      <c r="C7" s="56">
        <v>1884185453</v>
      </c>
      <c r="D7" s="69">
        <v>6097718</v>
      </c>
      <c r="E7" s="56" t="s">
        <v>55</v>
      </c>
      <c r="F7" s="56">
        <v>90</v>
      </c>
      <c r="G7" s="56" t="s">
        <v>60</v>
      </c>
      <c r="H7" s="56">
        <v>6</v>
      </c>
      <c r="I7" s="58">
        <v>40564</v>
      </c>
      <c r="J7" s="202"/>
      <c r="K7" s="120" t="s">
        <v>372</v>
      </c>
    </row>
    <row r="8" spans="1:13" x14ac:dyDescent="0.25">
      <c r="A8" s="51">
        <v>2.2200000000000002</v>
      </c>
      <c r="B8" s="52">
        <v>32767</v>
      </c>
      <c r="C8" s="52">
        <v>1884185737</v>
      </c>
      <c r="D8" s="68">
        <v>4205813</v>
      </c>
      <c r="E8" s="52" t="s">
        <v>55</v>
      </c>
      <c r="F8" s="52">
        <v>90</v>
      </c>
      <c r="G8" s="52" t="s">
        <v>60</v>
      </c>
      <c r="H8" s="52">
        <v>6</v>
      </c>
      <c r="I8" s="54">
        <v>40562</v>
      </c>
      <c r="J8" s="202"/>
      <c r="K8" s="38">
        <f>SUMPRODUCT((Volume)*((solarSystem="Endrulf")*(jumps=6)))</f>
        <v>44463091</v>
      </c>
      <c r="L8" s="63" t="s">
        <v>376</v>
      </c>
    </row>
    <row r="9" spans="1:13" x14ac:dyDescent="0.25">
      <c r="A9" s="55">
        <v>2.2999999999999998</v>
      </c>
      <c r="B9" s="56">
        <v>32767</v>
      </c>
      <c r="C9" s="56">
        <v>1897003819</v>
      </c>
      <c r="D9" s="69">
        <v>149036</v>
      </c>
      <c r="E9" s="56" t="s">
        <v>55</v>
      </c>
      <c r="F9" s="56">
        <v>1</v>
      </c>
      <c r="G9" s="56" t="s">
        <v>61</v>
      </c>
      <c r="H9" s="56">
        <v>3</v>
      </c>
      <c r="I9" s="58">
        <v>40560</v>
      </c>
      <c r="J9" s="202"/>
    </row>
    <row r="10" spans="1:13" x14ac:dyDescent="0.25">
      <c r="A10" s="51">
        <v>2.2999999999999998</v>
      </c>
      <c r="B10" s="52">
        <v>32767</v>
      </c>
      <c r="C10" s="52">
        <v>1897074264</v>
      </c>
      <c r="D10" s="68">
        <v>2831</v>
      </c>
      <c r="E10" s="52" t="s">
        <v>55</v>
      </c>
      <c r="F10" s="52">
        <v>1</v>
      </c>
      <c r="G10" s="52" t="s">
        <v>62</v>
      </c>
      <c r="H10" s="52">
        <v>3</v>
      </c>
      <c r="I10" s="54">
        <v>40558</v>
      </c>
      <c r="J10" s="202"/>
      <c r="K10" s="120" t="s">
        <v>374</v>
      </c>
    </row>
    <row r="11" spans="1:13" x14ac:dyDescent="0.25">
      <c r="A11" s="55">
        <v>2.2999999999999998</v>
      </c>
      <c r="B11" s="56">
        <v>32767</v>
      </c>
      <c r="C11" s="56">
        <v>1897179851</v>
      </c>
      <c r="D11" s="69">
        <v>6260241</v>
      </c>
      <c r="E11" s="56" t="s">
        <v>55</v>
      </c>
      <c r="F11" s="56">
        <v>7</v>
      </c>
      <c r="G11" s="56" t="s">
        <v>61</v>
      </c>
      <c r="H11" s="56">
        <v>3</v>
      </c>
      <c r="I11" s="58">
        <v>40556</v>
      </c>
      <c r="J11" s="202"/>
      <c r="K11" s="38">
        <f>SUMPRODUCT((Volume)*((solarSystem="Rens")+(solarSystem="Endrulf"))*(jumps=6))</f>
        <v>44492438</v>
      </c>
      <c r="L11" s="63" t="s">
        <v>378</v>
      </c>
    </row>
    <row r="12" spans="1:13" x14ac:dyDescent="0.25">
      <c r="A12" s="51">
        <v>2.31</v>
      </c>
      <c r="B12" s="52">
        <v>32767</v>
      </c>
      <c r="C12" s="52">
        <v>1897102842</v>
      </c>
      <c r="D12" s="68">
        <v>2577</v>
      </c>
      <c r="E12" s="52" t="s">
        <v>55</v>
      </c>
      <c r="F12" s="52">
        <v>1</v>
      </c>
      <c r="G12" s="52" t="s">
        <v>62</v>
      </c>
      <c r="H12" s="52">
        <v>3</v>
      </c>
      <c r="I12" s="54">
        <v>40554</v>
      </c>
      <c r="J12" s="202"/>
      <c r="K12" s="38"/>
    </row>
    <row r="13" spans="1:13" x14ac:dyDescent="0.25">
      <c r="A13" s="55">
        <v>2.39</v>
      </c>
      <c r="B13" s="56">
        <v>32767</v>
      </c>
      <c r="C13" s="56">
        <v>1897046767</v>
      </c>
      <c r="D13" s="69">
        <v>6729</v>
      </c>
      <c r="E13" s="56" t="s">
        <v>55</v>
      </c>
      <c r="F13" s="56">
        <v>1</v>
      </c>
      <c r="G13" s="56" t="s">
        <v>62</v>
      </c>
      <c r="H13" s="56">
        <v>3</v>
      </c>
      <c r="I13" s="58">
        <v>40552</v>
      </c>
      <c r="J13" s="202"/>
      <c r="K13" s="201" t="s">
        <v>379</v>
      </c>
      <c r="L13" s="201">
        <v>40544</v>
      </c>
      <c r="M13" s="201">
        <v>40574</v>
      </c>
    </row>
    <row r="14" spans="1:13" x14ac:dyDescent="0.25">
      <c r="A14" s="51">
        <v>2.4</v>
      </c>
      <c r="B14" s="52">
        <v>32767</v>
      </c>
      <c r="C14" s="52">
        <v>1887025464</v>
      </c>
      <c r="D14" s="68">
        <v>503183</v>
      </c>
      <c r="E14" s="52" t="s">
        <v>55</v>
      </c>
      <c r="F14" s="52">
        <v>7</v>
      </c>
      <c r="G14" s="52" t="s">
        <v>57</v>
      </c>
      <c r="H14" s="52">
        <v>7</v>
      </c>
      <c r="I14" s="54">
        <v>40550</v>
      </c>
      <c r="J14" s="202"/>
      <c r="K14" s="38">
        <f>SUMPRODUCT((Volume)*((solarSystem="Rens")+(solarSystem="Endrulf"))*(DateCol&gt;=L13)*(DateCol&lt;=M13))</f>
        <v>25185956</v>
      </c>
      <c r="L14" t="s">
        <v>381</v>
      </c>
    </row>
    <row r="15" spans="1:13" x14ac:dyDescent="0.25">
      <c r="A15" s="55">
        <v>2.4300000000000002</v>
      </c>
      <c r="B15" s="56">
        <v>32767</v>
      </c>
      <c r="C15" s="56">
        <v>1896479899</v>
      </c>
      <c r="D15" s="69">
        <v>194004</v>
      </c>
      <c r="E15" s="56" t="s">
        <v>55</v>
      </c>
      <c r="F15" s="56">
        <v>7</v>
      </c>
      <c r="G15" s="56" t="s">
        <v>61</v>
      </c>
      <c r="H15" s="56">
        <v>3</v>
      </c>
      <c r="I15" s="58">
        <v>40548</v>
      </c>
      <c r="J15" s="202"/>
      <c r="K15" s="38">
        <f>SUMPRODUCT((Volume)*((solarSystem="Rens")+(solarSystem="Endrulf"))*(DateCol&gt;=40544)*(DateCol&lt;=40574))</f>
        <v>25185956</v>
      </c>
      <c r="L15" t="s">
        <v>382</v>
      </c>
    </row>
    <row r="16" spans="1:13" x14ac:dyDescent="0.25">
      <c r="A16" s="51">
        <v>2.44</v>
      </c>
      <c r="B16" s="52">
        <v>32767</v>
      </c>
      <c r="C16" s="52">
        <v>1892906924</v>
      </c>
      <c r="D16" s="68">
        <v>7146820</v>
      </c>
      <c r="E16" s="52" t="s">
        <v>55</v>
      </c>
      <c r="F16" s="52">
        <v>90</v>
      </c>
      <c r="G16" s="52" t="s">
        <v>63</v>
      </c>
      <c r="H16" s="52">
        <v>4</v>
      </c>
      <c r="I16" s="54">
        <v>40546</v>
      </c>
      <c r="J16" s="202"/>
      <c r="K16" s="38">
        <f>SUMPRODUCT((Volume)*((solarSystem="Rens")+(solarSystem="Endrulf"))*(DateCol&gt;=DATEVALUE("01/01/2011")*(DateCol&lt;=DATEVALUE("31/01/2011"))))</f>
        <v>25185956</v>
      </c>
      <c r="L16" t="s">
        <v>383</v>
      </c>
    </row>
    <row r="17" spans="1:11" x14ac:dyDescent="0.25">
      <c r="A17" s="55">
        <v>2.4500000000000002</v>
      </c>
      <c r="B17" s="56">
        <v>32767</v>
      </c>
      <c r="C17" s="56">
        <v>1873211811</v>
      </c>
      <c r="D17" s="69">
        <v>42999</v>
      </c>
      <c r="E17" s="56" t="s">
        <v>55</v>
      </c>
      <c r="F17" s="56">
        <v>90</v>
      </c>
      <c r="G17" s="56" t="s">
        <v>63</v>
      </c>
      <c r="H17" s="56">
        <v>4</v>
      </c>
      <c r="I17" s="58">
        <v>40544</v>
      </c>
      <c r="J17" s="202"/>
    </row>
    <row r="18" spans="1:11" x14ac:dyDescent="0.25">
      <c r="A18" s="51">
        <v>2.4700000000000002</v>
      </c>
      <c r="B18" s="52">
        <v>32767</v>
      </c>
      <c r="C18" s="52">
        <v>1897141389</v>
      </c>
      <c r="D18" s="68">
        <v>2337485</v>
      </c>
      <c r="E18" s="52" t="s">
        <v>55</v>
      </c>
      <c r="F18" s="52">
        <v>90</v>
      </c>
      <c r="G18" s="52" t="s">
        <v>64</v>
      </c>
      <c r="H18" s="52">
        <v>2</v>
      </c>
      <c r="I18" s="54">
        <v>40542</v>
      </c>
      <c r="J18" s="202"/>
      <c r="K18" s="201" t="s">
        <v>380</v>
      </c>
    </row>
    <row r="19" spans="1:11" x14ac:dyDescent="0.25">
      <c r="A19" s="55">
        <v>2.48</v>
      </c>
      <c r="B19" s="56">
        <v>32767</v>
      </c>
      <c r="C19" s="56">
        <v>1896242798</v>
      </c>
      <c r="D19" s="69">
        <v>1054804</v>
      </c>
      <c r="E19" s="56" t="s">
        <v>55</v>
      </c>
      <c r="F19" s="56">
        <v>1</v>
      </c>
      <c r="G19" s="56" t="s">
        <v>65</v>
      </c>
      <c r="H19" s="56">
        <v>3</v>
      </c>
      <c r="I19" s="58">
        <v>40540</v>
      </c>
      <c r="J19" s="202"/>
      <c r="K19" s="38">
        <f>SUMPRODUCT(((solarSystem="Rens")+(solarSystem="Endrulf"))*(jumps=6))</f>
        <v>6</v>
      </c>
    </row>
    <row r="20" spans="1:11" x14ac:dyDescent="0.25">
      <c r="A20" s="51">
        <v>2.48</v>
      </c>
      <c r="B20" s="52">
        <v>32767</v>
      </c>
      <c r="C20" s="52">
        <v>1896732441</v>
      </c>
      <c r="D20" s="68">
        <v>51901042</v>
      </c>
      <c r="E20" s="52" t="s">
        <v>55</v>
      </c>
      <c r="F20" s="52">
        <v>90</v>
      </c>
      <c r="G20" s="52" t="s">
        <v>64</v>
      </c>
      <c r="H20" s="52">
        <v>2</v>
      </c>
      <c r="I20" s="54">
        <v>40538</v>
      </c>
      <c r="J20" s="202"/>
      <c r="K20" s="50"/>
    </row>
    <row r="21" spans="1:11" x14ac:dyDescent="0.25">
      <c r="A21" s="55">
        <v>2.4900000000000002</v>
      </c>
      <c r="B21" s="56">
        <v>32767</v>
      </c>
      <c r="C21" s="56">
        <v>1890980091</v>
      </c>
      <c r="D21" s="69">
        <v>1684826</v>
      </c>
      <c r="E21" s="56" t="s">
        <v>55</v>
      </c>
      <c r="F21" s="56">
        <v>90</v>
      </c>
      <c r="G21" s="56" t="s">
        <v>62</v>
      </c>
      <c r="H21" s="56">
        <v>3</v>
      </c>
      <c r="I21" s="58">
        <v>40536</v>
      </c>
      <c r="J21" s="202"/>
      <c r="K21" s="201" t="s">
        <v>384</v>
      </c>
    </row>
    <row r="22" spans="1:11" x14ac:dyDescent="0.25">
      <c r="A22" s="51">
        <v>2.5</v>
      </c>
      <c r="B22" s="52">
        <v>32767</v>
      </c>
      <c r="C22" s="52">
        <v>1790167893</v>
      </c>
      <c r="D22" s="68">
        <v>10000000</v>
      </c>
      <c r="E22" s="52" t="s">
        <v>55</v>
      </c>
      <c r="F22" s="52">
        <v>90</v>
      </c>
      <c r="G22" s="52" t="s">
        <v>66</v>
      </c>
      <c r="H22" s="52">
        <v>7</v>
      </c>
      <c r="I22" s="54">
        <v>40534</v>
      </c>
      <c r="J22" s="202"/>
      <c r="K22" s="38">
        <f>SUMPRODUCT(price,Volume)</f>
        <v>36543538172.9366</v>
      </c>
    </row>
    <row r="23" spans="1:11" x14ac:dyDescent="0.25">
      <c r="A23" s="55">
        <v>2.5</v>
      </c>
      <c r="B23" s="56">
        <v>32767</v>
      </c>
      <c r="C23" s="56">
        <v>1818033126</v>
      </c>
      <c r="D23" s="69">
        <v>20000000</v>
      </c>
      <c r="E23" s="56" t="s">
        <v>55</v>
      </c>
      <c r="F23" s="56">
        <v>90</v>
      </c>
      <c r="G23" s="56" t="s">
        <v>62</v>
      </c>
      <c r="H23" s="56">
        <v>3</v>
      </c>
      <c r="I23" s="58">
        <v>40532</v>
      </c>
      <c r="J23" s="202"/>
      <c r="K23" s="50"/>
    </row>
    <row r="24" spans="1:11" x14ac:dyDescent="0.25">
      <c r="A24" s="51">
        <v>2.5</v>
      </c>
      <c r="B24" s="52">
        <v>32767</v>
      </c>
      <c r="C24" s="52">
        <v>1838369959</v>
      </c>
      <c r="D24" s="68">
        <v>20000000</v>
      </c>
      <c r="E24" s="52" t="s">
        <v>55</v>
      </c>
      <c r="F24" s="52">
        <v>90</v>
      </c>
      <c r="G24" s="52" t="s">
        <v>67</v>
      </c>
      <c r="H24" s="52">
        <v>5</v>
      </c>
      <c r="I24" s="54">
        <v>40530</v>
      </c>
      <c r="J24" s="202"/>
      <c r="K24" s="201" t="s">
        <v>385</v>
      </c>
    </row>
    <row r="25" spans="1:11" x14ac:dyDescent="0.25">
      <c r="A25" s="55">
        <v>2.5</v>
      </c>
      <c r="B25" s="56">
        <v>32767</v>
      </c>
      <c r="C25" s="56">
        <v>1825710429</v>
      </c>
      <c r="D25" s="69">
        <v>2000000000</v>
      </c>
      <c r="E25" s="56" t="s">
        <v>55</v>
      </c>
      <c r="F25" s="56">
        <v>90</v>
      </c>
      <c r="G25" s="56" t="s">
        <v>68</v>
      </c>
      <c r="H25" s="56">
        <v>4</v>
      </c>
      <c r="I25" s="58">
        <v>40528</v>
      </c>
      <c r="J25" s="202"/>
      <c r="K25" s="38">
        <f>SUMPRODUCT((Volume)*((solarSystem="Rens")+(solarSystem="Endrulf"))*(jumps=6))/SUMPRODUCT(((solarSystem="Rens")+(solarSystem="Endrulf"))*(jumps=6))</f>
        <v>7415406.333333333</v>
      </c>
    </row>
    <row r="26" spans="1:11" x14ac:dyDescent="0.25">
      <c r="A26" s="51">
        <v>2.5</v>
      </c>
      <c r="B26" s="52">
        <v>32767</v>
      </c>
      <c r="C26" s="52">
        <v>1880676219</v>
      </c>
      <c r="D26" s="68">
        <v>14006933</v>
      </c>
      <c r="E26" s="52" t="s">
        <v>55</v>
      </c>
      <c r="F26" s="52">
        <v>30</v>
      </c>
      <c r="G26" s="52" t="s">
        <v>69</v>
      </c>
      <c r="H26" s="52">
        <v>6</v>
      </c>
      <c r="I26" s="54">
        <v>40526</v>
      </c>
      <c r="J26" s="202"/>
      <c r="K26" s="50"/>
    </row>
    <row r="27" spans="1:11" x14ac:dyDescent="0.25">
      <c r="A27" s="55">
        <v>2.5</v>
      </c>
      <c r="B27" s="56">
        <v>32767</v>
      </c>
      <c r="C27" s="56">
        <v>1886191973</v>
      </c>
      <c r="D27" s="69">
        <v>2233793</v>
      </c>
      <c r="E27" s="56" t="s">
        <v>55</v>
      </c>
      <c r="F27" s="56">
        <v>90</v>
      </c>
      <c r="G27" s="56" t="s">
        <v>57</v>
      </c>
      <c r="H27" s="56">
        <v>1</v>
      </c>
      <c r="I27" s="58">
        <v>40524</v>
      </c>
      <c r="J27" s="202"/>
      <c r="K27" s="50"/>
    </row>
    <row r="28" spans="1:11" x14ac:dyDescent="0.25">
      <c r="A28" s="51">
        <v>2.5</v>
      </c>
      <c r="B28" s="52">
        <v>32767</v>
      </c>
      <c r="C28" s="52">
        <v>1888461748</v>
      </c>
      <c r="D28" s="68">
        <v>38503531</v>
      </c>
      <c r="E28" s="52" t="s">
        <v>55</v>
      </c>
      <c r="F28" s="52">
        <v>90</v>
      </c>
      <c r="G28" s="52" t="s">
        <v>58</v>
      </c>
      <c r="H28" s="52">
        <v>6</v>
      </c>
      <c r="I28" s="54">
        <v>40522</v>
      </c>
      <c r="J28" s="202"/>
      <c r="K28" s="50"/>
    </row>
    <row r="29" spans="1:11" x14ac:dyDescent="0.25">
      <c r="A29" s="55">
        <v>2.5</v>
      </c>
      <c r="B29" s="56">
        <v>32767</v>
      </c>
      <c r="C29" s="56">
        <v>1893783042</v>
      </c>
      <c r="D29" s="69">
        <v>303318</v>
      </c>
      <c r="E29" s="56" t="s">
        <v>55</v>
      </c>
      <c r="F29" s="56">
        <v>14</v>
      </c>
      <c r="G29" s="56" t="s">
        <v>59</v>
      </c>
      <c r="H29" s="56">
        <v>5</v>
      </c>
      <c r="I29" s="58">
        <v>40520</v>
      </c>
      <c r="J29" s="202"/>
    </row>
    <row r="30" spans="1:11" x14ac:dyDescent="0.25">
      <c r="A30" s="51">
        <v>2.5</v>
      </c>
      <c r="B30" s="52">
        <v>32767</v>
      </c>
      <c r="C30" s="52">
        <v>1895003519</v>
      </c>
      <c r="D30" s="68">
        <v>368169</v>
      </c>
      <c r="E30" s="52" t="s">
        <v>55</v>
      </c>
      <c r="F30" s="52">
        <v>3</v>
      </c>
      <c r="G30" s="52" t="s">
        <v>57</v>
      </c>
      <c r="H30" s="52">
        <v>7</v>
      </c>
      <c r="I30" s="54">
        <v>40518</v>
      </c>
      <c r="J30" s="202"/>
    </row>
    <row r="31" spans="1:11" x14ac:dyDescent="0.25">
      <c r="A31" s="55">
        <v>2.5</v>
      </c>
      <c r="B31" s="56">
        <v>32767</v>
      </c>
      <c r="C31" s="56">
        <v>1895217440</v>
      </c>
      <c r="D31" s="69">
        <v>841833</v>
      </c>
      <c r="E31" s="56" t="s">
        <v>55</v>
      </c>
      <c r="F31" s="56">
        <v>90</v>
      </c>
      <c r="G31" s="56" t="s">
        <v>64</v>
      </c>
      <c r="H31" s="56">
        <v>2</v>
      </c>
      <c r="I31" s="58">
        <v>40516</v>
      </c>
      <c r="J31" s="202"/>
    </row>
    <row r="32" spans="1:11" x14ac:dyDescent="0.25">
      <c r="A32" s="51">
        <v>2.5</v>
      </c>
      <c r="B32" s="52">
        <v>32767</v>
      </c>
      <c r="C32" s="52">
        <v>1896873064</v>
      </c>
      <c r="D32" s="68">
        <v>2497</v>
      </c>
      <c r="E32" s="52" t="s">
        <v>55</v>
      </c>
      <c r="F32" s="52">
        <v>1</v>
      </c>
      <c r="G32" s="52" t="s">
        <v>60</v>
      </c>
      <c r="H32" s="52">
        <v>3</v>
      </c>
      <c r="I32" s="54">
        <v>40514</v>
      </c>
      <c r="J32" s="202"/>
    </row>
    <row r="33" spans="1:10" x14ac:dyDescent="0.25">
      <c r="A33" s="55">
        <v>2.5</v>
      </c>
      <c r="B33" s="56">
        <v>32767</v>
      </c>
      <c r="C33" s="56">
        <v>1896882209</v>
      </c>
      <c r="D33" s="69">
        <v>321625</v>
      </c>
      <c r="E33" s="56" t="s">
        <v>55</v>
      </c>
      <c r="F33" s="56">
        <v>90</v>
      </c>
      <c r="G33" s="56" t="s">
        <v>61</v>
      </c>
      <c r="H33" s="56">
        <v>4</v>
      </c>
      <c r="I33" s="58">
        <v>40512</v>
      </c>
      <c r="J33" s="202"/>
    </row>
    <row r="34" spans="1:10" x14ac:dyDescent="0.25">
      <c r="A34" s="51">
        <v>2.5</v>
      </c>
      <c r="B34" s="52">
        <v>32767</v>
      </c>
      <c r="C34" s="52">
        <v>1897182825</v>
      </c>
      <c r="D34" s="68">
        <v>14301481</v>
      </c>
      <c r="E34" s="52" t="s">
        <v>55</v>
      </c>
      <c r="F34" s="52">
        <v>30</v>
      </c>
      <c r="G34" s="52" t="s">
        <v>63</v>
      </c>
      <c r="H34" s="52">
        <v>4</v>
      </c>
      <c r="I34" s="54">
        <v>40510</v>
      </c>
      <c r="J34" s="202"/>
    </row>
    <row r="35" spans="1:10" x14ac:dyDescent="0.25">
      <c r="A35" s="55">
        <v>2.5099</v>
      </c>
      <c r="B35" s="56">
        <v>32767</v>
      </c>
      <c r="C35" s="56">
        <v>1813717922</v>
      </c>
      <c r="D35" s="69">
        <v>29859840</v>
      </c>
      <c r="E35" s="56" t="s">
        <v>55</v>
      </c>
      <c r="F35" s="56">
        <v>90</v>
      </c>
      <c r="G35" s="56" t="s">
        <v>68</v>
      </c>
      <c r="H35" s="56">
        <v>4</v>
      </c>
      <c r="I35" s="58">
        <v>40508</v>
      </c>
      <c r="J35" s="202"/>
    </row>
    <row r="36" spans="1:10" x14ac:dyDescent="0.25">
      <c r="A36" s="51">
        <v>2.5099</v>
      </c>
      <c r="B36" s="52">
        <v>32767</v>
      </c>
      <c r="C36" s="52">
        <v>1895442994</v>
      </c>
      <c r="D36" s="68">
        <v>32493</v>
      </c>
      <c r="E36" s="52" t="s">
        <v>55</v>
      </c>
      <c r="F36" s="52">
        <v>90</v>
      </c>
      <c r="G36" s="52" t="s">
        <v>62</v>
      </c>
      <c r="H36" s="52">
        <v>3</v>
      </c>
      <c r="I36" s="54">
        <v>40506</v>
      </c>
      <c r="J36" s="202"/>
    </row>
    <row r="37" spans="1:10" x14ac:dyDescent="0.25">
      <c r="A37" s="55">
        <v>2.52</v>
      </c>
      <c r="B37" s="56">
        <v>32767</v>
      </c>
      <c r="C37" s="56">
        <v>1813718126</v>
      </c>
      <c r="D37" s="69">
        <v>35831808</v>
      </c>
      <c r="E37" s="56" t="s">
        <v>55</v>
      </c>
      <c r="F37" s="56">
        <v>90</v>
      </c>
      <c r="G37" s="56" t="s">
        <v>68</v>
      </c>
      <c r="H37" s="56">
        <v>4</v>
      </c>
      <c r="I37" s="58">
        <v>40504</v>
      </c>
      <c r="J37" s="202"/>
    </row>
    <row r="38" spans="1:10" x14ac:dyDescent="0.25">
      <c r="A38" s="51">
        <v>2.5299</v>
      </c>
      <c r="B38" s="52">
        <v>32767</v>
      </c>
      <c r="C38" s="52">
        <v>1813718354</v>
      </c>
      <c r="D38" s="68">
        <v>42998169</v>
      </c>
      <c r="E38" s="52" t="s">
        <v>55</v>
      </c>
      <c r="F38" s="52">
        <v>90</v>
      </c>
      <c r="G38" s="52" t="s">
        <v>68</v>
      </c>
      <c r="H38" s="52">
        <v>4</v>
      </c>
      <c r="I38" s="54">
        <v>40502</v>
      </c>
      <c r="J38" s="202"/>
    </row>
    <row r="39" spans="1:10" x14ac:dyDescent="0.25">
      <c r="A39" s="55">
        <v>2.54</v>
      </c>
      <c r="B39" s="56">
        <v>32767</v>
      </c>
      <c r="C39" s="56">
        <v>1813718633</v>
      </c>
      <c r="D39" s="69">
        <v>51597802</v>
      </c>
      <c r="E39" s="56" t="s">
        <v>55</v>
      </c>
      <c r="F39" s="56">
        <v>90</v>
      </c>
      <c r="G39" s="56" t="s">
        <v>68</v>
      </c>
      <c r="H39" s="56">
        <v>4</v>
      </c>
      <c r="I39" s="58">
        <v>40500</v>
      </c>
      <c r="J39" s="202"/>
    </row>
    <row r="40" spans="1:10" x14ac:dyDescent="0.25">
      <c r="A40" s="51">
        <v>2.54</v>
      </c>
      <c r="B40" s="52">
        <v>32767</v>
      </c>
      <c r="C40" s="52">
        <v>1894543474</v>
      </c>
      <c r="D40" s="68">
        <v>1880412</v>
      </c>
      <c r="E40" s="52" t="s">
        <v>55</v>
      </c>
      <c r="F40" s="52">
        <v>90</v>
      </c>
      <c r="G40" s="52" t="s">
        <v>63</v>
      </c>
      <c r="H40" s="52">
        <v>2</v>
      </c>
      <c r="I40" s="54">
        <v>40498</v>
      </c>
      <c r="J40" s="202"/>
    </row>
    <row r="41" spans="1:10" x14ac:dyDescent="0.25">
      <c r="A41" s="55">
        <v>2.54</v>
      </c>
      <c r="B41" s="56">
        <v>32767</v>
      </c>
      <c r="C41" s="56">
        <v>1897147915</v>
      </c>
      <c r="D41" s="69">
        <v>9704320</v>
      </c>
      <c r="E41" s="56" t="s">
        <v>55</v>
      </c>
      <c r="F41" s="56">
        <v>90</v>
      </c>
      <c r="G41" s="56" t="s">
        <v>61</v>
      </c>
      <c r="H41" s="56">
        <v>4</v>
      </c>
      <c r="I41" s="58">
        <v>40496</v>
      </c>
      <c r="J41" s="202"/>
    </row>
    <row r="42" spans="1:10" x14ac:dyDescent="0.25">
      <c r="A42" s="51">
        <v>2.5499999999999998</v>
      </c>
      <c r="B42" s="52">
        <v>32767</v>
      </c>
      <c r="C42" s="52">
        <v>1813718813</v>
      </c>
      <c r="D42" s="68">
        <v>61917362</v>
      </c>
      <c r="E42" s="52" t="s">
        <v>55</v>
      </c>
      <c r="F42" s="52">
        <v>90</v>
      </c>
      <c r="G42" s="52" t="s">
        <v>68</v>
      </c>
      <c r="H42" s="52">
        <v>4</v>
      </c>
      <c r="I42" s="54">
        <v>40494</v>
      </c>
      <c r="J42" s="202"/>
    </row>
    <row r="43" spans="1:10" x14ac:dyDescent="0.25">
      <c r="A43" s="55">
        <v>2.5499999999999998</v>
      </c>
      <c r="B43" s="56">
        <v>32767</v>
      </c>
      <c r="C43" s="56">
        <v>1867435110</v>
      </c>
      <c r="D43" s="69">
        <v>47813453</v>
      </c>
      <c r="E43" s="56" t="s">
        <v>55</v>
      </c>
      <c r="F43" s="56">
        <v>90</v>
      </c>
      <c r="G43" s="56" t="s">
        <v>68</v>
      </c>
      <c r="H43" s="56">
        <v>4</v>
      </c>
      <c r="I43" s="58">
        <v>40492</v>
      </c>
      <c r="J43" s="202"/>
    </row>
    <row r="44" spans="1:10" x14ac:dyDescent="0.25">
      <c r="A44" s="51">
        <v>2.5499999999999998</v>
      </c>
      <c r="B44" s="52">
        <v>32767</v>
      </c>
      <c r="C44" s="52">
        <v>1894728463</v>
      </c>
      <c r="D44" s="68">
        <v>364997</v>
      </c>
      <c r="E44" s="52" t="s">
        <v>55</v>
      </c>
      <c r="F44" s="52">
        <v>90</v>
      </c>
      <c r="G44" s="52" t="s">
        <v>65</v>
      </c>
      <c r="H44" s="52">
        <v>3</v>
      </c>
      <c r="I44" s="54">
        <v>40490</v>
      </c>
      <c r="J44" s="202"/>
    </row>
    <row r="45" spans="1:10" x14ac:dyDescent="0.25">
      <c r="A45" s="55">
        <v>2.5499999999999998</v>
      </c>
      <c r="B45" s="56">
        <v>32767</v>
      </c>
      <c r="C45" s="56">
        <v>1895950674</v>
      </c>
      <c r="D45" s="69">
        <v>608073</v>
      </c>
      <c r="E45" s="56" t="s">
        <v>55</v>
      </c>
      <c r="F45" s="56">
        <v>90</v>
      </c>
      <c r="G45" s="56" t="s">
        <v>61</v>
      </c>
      <c r="H45" s="56">
        <v>4</v>
      </c>
      <c r="I45" s="58">
        <v>40488</v>
      </c>
      <c r="J45" s="202"/>
    </row>
    <row r="46" spans="1:10" x14ac:dyDescent="0.25">
      <c r="A46" s="51">
        <v>2.56</v>
      </c>
      <c r="B46" s="52">
        <v>32767</v>
      </c>
      <c r="C46" s="52">
        <v>1813719142</v>
      </c>
      <c r="D46" s="68">
        <v>74300834</v>
      </c>
      <c r="E46" s="52" t="s">
        <v>55</v>
      </c>
      <c r="F46" s="52">
        <v>90</v>
      </c>
      <c r="G46" s="52" t="s">
        <v>68</v>
      </c>
      <c r="H46" s="52">
        <v>4</v>
      </c>
      <c r="I46" s="54">
        <v>40486</v>
      </c>
      <c r="J46" s="202"/>
    </row>
    <row r="47" spans="1:10" x14ac:dyDescent="0.25">
      <c r="A47" s="55">
        <v>2.57</v>
      </c>
      <c r="B47" s="56">
        <v>32767</v>
      </c>
      <c r="C47" s="56">
        <v>1813719365</v>
      </c>
      <c r="D47" s="69">
        <v>89161000</v>
      </c>
      <c r="E47" s="56" t="s">
        <v>55</v>
      </c>
      <c r="F47" s="56">
        <v>90</v>
      </c>
      <c r="G47" s="56" t="s">
        <v>68</v>
      </c>
      <c r="H47" s="56">
        <v>4</v>
      </c>
      <c r="I47" s="58">
        <v>40484</v>
      </c>
      <c r="J47" s="202"/>
    </row>
    <row r="48" spans="1:10" x14ac:dyDescent="0.25">
      <c r="A48" s="51">
        <v>2.57</v>
      </c>
      <c r="B48" s="52">
        <v>32767</v>
      </c>
      <c r="C48" s="52">
        <v>1843539284</v>
      </c>
      <c r="D48" s="68">
        <v>151402</v>
      </c>
      <c r="E48" s="52" t="s">
        <v>55</v>
      </c>
      <c r="F48" s="52">
        <v>90</v>
      </c>
      <c r="G48" s="52" t="s">
        <v>65</v>
      </c>
      <c r="H48" s="52">
        <v>3</v>
      </c>
      <c r="I48" s="54">
        <v>40482</v>
      </c>
      <c r="J48" s="202"/>
    </row>
    <row r="49" spans="1:10" x14ac:dyDescent="0.25">
      <c r="A49" s="55">
        <v>2.58</v>
      </c>
      <c r="B49" s="56">
        <v>32767</v>
      </c>
      <c r="C49" s="56">
        <v>1813719979</v>
      </c>
      <c r="D49" s="69">
        <v>106993200</v>
      </c>
      <c r="E49" s="56" t="s">
        <v>55</v>
      </c>
      <c r="F49" s="56">
        <v>90</v>
      </c>
      <c r="G49" s="56" t="s">
        <v>68</v>
      </c>
      <c r="H49" s="56">
        <v>4</v>
      </c>
      <c r="I49" s="58">
        <v>40480</v>
      </c>
      <c r="J49" s="202"/>
    </row>
    <row r="50" spans="1:10" x14ac:dyDescent="0.25">
      <c r="A50" s="51">
        <v>2.59</v>
      </c>
      <c r="B50" s="52">
        <v>32767</v>
      </c>
      <c r="C50" s="52">
        <v>1813720244</v>
      </c>
      <c r="D50" s="68">
        <v>128391840</v>
      </c>
      <c r="E50" s="52" t="s">
        <v>55</v>
      </c>
      <c r="F50" s="52">
        <v>90</v>
      </c>
      <c r="G50" s="52" t="s">
        <v>68</v>
      </c>
      <c r="H50" s="52">
        <v>4</v>
      </c>
      <c r="I50" s="54">
        <v>40478</v>
      </c>
      <c r="J50" s="202"/>
    </row>
    <row r="51" spans="1:10" x14ac:dyDescent="0.25">
      <c r="A51" s="55">
        <v>2.59</v>
      </c>
      <c r="B51" s="56">
        <v>32767</v>
      </c>
      <c r="C51" s="56">
        <v>1897144739</v>
      </c>
      <c r="D51" s="69">
        <v>3146569</v>
      </c>
      <c r="E51" s="56" t="s">
        <v>55</v>
      </c>
      <c r="F51" s="56">
        <v>90</v>
      </c>
      <c r="G51" s="56" t="s">
        <v>64</v>
      </c>
      <c r="H51" s="56">
        <v>2</v>
      </c>
      <c r="I51" s="58">
        <v>40476</v>
      </c>
      <c r="J51" s="202"/>
    </row>
    <row r="52" spans="1:10" x14ac:dyDescent="0.25">
      <c r="A52" s="51">
        <v>2.6</v>
      </c>
      <c r="B52" s="52">
        <v>32767</v>
      </c>
      <c r="C52" s="52">
        <v>1813720414</v>
      </c>
      <c r="D52" s="68">
        <v>154070200</v>
      </c>
      <c r="E52" s="52" t="s">
        <v>55</v>
      </c>
      <c r="F52" s="52">
        <v>90</v>
      </c>
      <c r="G52" s="52" t="s">
        <v>68</v>
      </c>
      <c r="H52" s="52">
        <v>4</v>
      </c>
      <c r="I52" s="54">
        <v>40474</v>
      </c>
      <c r="J52" s="202"/>
    </row>
    <row r="53" spans="1:10" x14ac:dyDescent="0.25">
      <c r="A53" s="55">
        <v>2.6</v>
      </c>
      <c r="B53" s="56">
        <v>32767</v>
      </c>
      <c r="C53" s="56">
        <v>1856217831</v>
      </c>
      <c r="D53" s="69">
        <v>17804459</v>
      </c>
      <c r="E53" s="56" t="s">
        <v>55</v>
      </c>
      <c r="F53" s="56">
        <v>90</v>
      </c>
      <c r="G53" s="56" t="s">
        <v>69</v>
      </c>
      <c r="H53" s="56">
        <v>6</v>
      </c>
      <c r="I53" s="58">
        <v>40472</v>
      </c>
      <c r="J53" s="202"/>
    </row>
    <row r="54" spans="1:10" x14ac:dyDescent="0.25">
      <c r="A54" s="51">
        <v>2.6</v>
      </c>
      <c r="B54" s="52">
        <v>32767</v>
      </c>
      <c r="C54" s="52">
        <v>1876847889</v>
      </c>
      <c r="D54" s="68">
        <v>857489</v>
      </c>
      <c r="E54" s="52" t="s">
        <v>55</v>
      </c>
      <c r="F54" s="52">
        <v>90</v>
      </c>
      <c r="G54" s="52" t="s">
        <v>63</v>
      </c>
      <c r="H54" s="52">
        <v>2</v>
      </c>
      <c r="I54" s="54">
        <v>40470</v>
      </c>
      <c r="J54" s="202"/>
    </row>
    <row r="55" spans="1:10" x14ac:dyDescent="0.25">
      <c r="A55" s="55">
        <v>2.6</v>
      </c>
      <c r="B55" s="56">
        <v>32767</v>
      </c>
      <c r="C55" s="56">
        <v>1894802153</v>
      </c>
      <c r="D55" s="69">
        <v>542669</v>
      </c>
      <c r="E55" s="56" t="s">
        <v>55</v>
      </c>
      <c r="F55" s="56">
        <v>90</v>
      </c>
      <c r="G55" s="56" t="s">
        <v>62</v>
      </c>
      <c r="H55" s="56">
        <v>3</v>
      </c>
      <c r="I55" s="58">
        <v>40468</v>
      </c>
      <c r="J55" s="202"/>
    </row>
    <row r="56" spans="1:10" x14ac:dyDescent="0.25">
      <c r="A56" s="51">
        <v>2.6</v>
      </c>
      <c r="B56" s="52">
        <v>32767</v>
      </c>
      <c r="C56" s="52">
        <v>1895919277</v>
      </c>
      <c r="D56" s="68">
        <v>279093</v>
      </c>
      <c r="E56" s="52" t="s">
        <v>55</v>
      </c>
      <c r="F56" s="52">
        <v>30</v>
      </c>
      <c r="G56" s="52" t="s">
        <v>62</v>
      </c>
      <c r="H56" s="52">
        <v>3</v>
      </c>
      <c r="I56" s="54">
        <v>40466</v>
      </c>
      <c r="J56" s="202"/>
    </row>
    <row r="57" spans="1:10" x14ac:dyDescent="0.25">
      <c r="A57" s="55">
        <v>2.65</v>
      </c>
      <c r="B57" s="56">
        <v>32767</v>
      </c>
      <c r="C57" s="56">
        <v>1633078042</v>
      </c>
      <c r="D57" s="69">
        <v>100000000</v>
      </c>
      <c r="E57" s="56" t="s">
        <v>55</v>
      </c>
      <c r="F57" s="56">
        <v>90</v>
      </c>
      <c r="G57" s="56" t="s">
        <v>68</v>
      </c>
      <c r="H57" s="56">
        <v>4</v>
      </c>
      <c r="I57" s="58">
        <v>40464</v>
      </c>
      <c r="J57" s="202"/>
    </row>
    <row r="58" spans="1:10" x14ac:dyDescent="0.25">
      <c r="A58" s="51">
        <v>2.65</v>
      </c>
      <c r="B58" s="52">
        <v>32767</v>
      </c>
      <c r="C58" s="52">
        <v>1879539447</v>
      </c>
      <c r="D58" s="68">
        <v>200000</v>
      </c>
      <c r="E58" s="52" t="s">
        <v>55</v>
      </c>
      <c r="F58" s="52">
        <v>14</v>
      </c>
      <c r="G58" s="52" t="s">
        <v>57</v>
      </c>
      <c r="H58" s="52">
        <v>7</v>
      </c>
      <c r="I58" s="54">
        <v>40462</v>
      </c>
      <c r="J58" s="202"/>
    </row>
    <row r="59" spans="1:10" x14ac:dyDescent="0.25">
      <c r="A59" s="55">
        <v>2.65</v>
      </c>
      <c r="B59" s="56">
        <v>32767</v>
      </c>
      <c r="C59" s="56">
        <v>1890148870</v>
      </c>
      <c r="D59" s="69">
        <v>2314780</v>
      </c>
      <c r="E59" s="56" t="s">
        <v>55</v>
      </c>
      <c r="F59" s="56">
        <v>90</v>
      </c>
      <c r="G59" s="56" t="s">
        <v>64</v>
      </c>
      <c r="H59" s="56">
        <v>2</v>
      </c>
      <c r="I59" s="58">
        <v>40460</v>
      </c>
      <c r="J59" s="202"/>
    </row>
    <row r="60" spans="1:10" x14ac:dyDescent="0.25">
      <c r="A60" s="51">
        <v>2.75</v>
      </c>
      <c r="B60" s="52">
        <v>32767</v>
      </c>
      <c r="C60" s="52">
        <v>1790167773</v>
      </c>
      <c r="D60" s="68">
        <v>20000000</v>
      </c>
      <c r="E60" s="52" t="s">
        <v>55</v>
      </c>
      <c r="F60" s="52">
        <v>90</v>
      </c>
      <c r="G60" s="52" t="s">
        <v>66</v>
      </c>
      <c r="H60" s="52">
        <v>7</v>
      </c>
      <c r="I60" s="54">
        <v>40458</v>
      </c>
      <c r="J60" s="202"/>
    </row>
    <row r="61" spans="1:10" x14ac:dyDescent="0.25">
      <c r="A61" s="55">
        <v>2.75</v>
      </c>
      <c r="B61" s="56">
        <v>32767</v>
      </c>
      <c r="C61" s="56">
        <v>1824557028</v>
      </c>
      <c r="D61" s="69">
        <v>22005</v>
      </c>
      <c r="E61" s="56" t="s">
        <v>55</v>
      </c>
      <c r="F61" s="56">
        <v>90</v>
      </c>
      <c r="G61" s="56" t="s">
        <v>61</v>
      </c>
      <c r="H61" s="56">
        <v>3</v>
      </c>
      <c r="I61" s="58">
        <v>40456</v>
      </c>
      <c r="J61" s="202"/>
    </row>
    <row r="62" spans="1:10" x14ac:dyDescent="0.25">
      <c r="A62" s="51">
        <v>2.75</v>
      </c>
      <c r="B62" s="52">
        <v>32767</v>
      </c>
      <c r="C62" s="52">
        <v>1838369345</v>
      </c>
      <c r="D62" s="68">
        <v>20000000</v>
      </c>
      <c r="E62" s="52" t="s">
        <v>55</v>
      </c>
      <c r="F62" s="52">
        <v>90</v>
      </c>
      <c r="G62" s="52" t="s">
        <v>67</v>
      </c>
      <c r="H62" s="52">
        <v>5</v>
      </c>
      <c r="I62" s="54">
        <v>40454</v>
      </c>
      <c r="J62" s="202"/>
    </row>
    <row r="63" spans="1:10" x14ac:dyDescent="0.25">
      <c r="A63" s="55">
        <v>2.7799</v>
      </c>
      <c r="B63" s="56">
        <v>32767</v>
      </c>
      <c r="C63" s="56">
        <v>1807088435</v>
      </c>
      <c r="D63" s="69">
        <v>307383</v>
      </c>
      <c r="E63" s="56" t="s">
        <v>55</v>
      </c>
      <c r="F63" s="56">
        <v>90</v>
      </c>
      <c r="G63" s="56" t="s">
        <v>68</v>
      </c>
      <c r="H63" s="56">
        <v>4</v>
      </c>
      <c r="I63" s="58">
        <v>40452</v>
      </c>
      <c r="J63" s="202"/>
    </row>
    <row r="64" spans="1:10" x14ac:dyDescent="0.25">
      <c r="A64" s="51">
        <v>2.81</v>
      </c>
      <c r="B64" s="52">
        <v>32767</v>
      </c>
      <c r="C64" s="52">
        <v>1893180578</v>
      </c>
      <c r="D64" s="68">
        <v>85872</v>
      </c>
      <c r="E64" s="52" t="s">
        <v>55</v>
      </c>
      <c r="F64" s="52">
        <v>90</v>
      </c>
      <c r="G64" s="52" t="s">
        <v>64</v>
      </c>
      <c r="H64" s="52">
        <v>2</v>
      </c>
      <c r="I64" s="54">
        <v>40450</v>
      </c>
      <c r="J64" s="202"/>
    </row>
    <row r="65" spans="1:10" x14ac:dyDescent="0.25">
      <c r="A65" s="55">
        <v>2.85</v>
      </c>
      <c r="B65" s="56">
        <v>32767</v>
      </c>
      <c r="C65" s="56">
        <v>1873212440</v>
      </c>
      <c r="D65" s="69">
        <v>13965</v>
      </c>
      <c r="E65" s="56" t="s">
        <v>55</v>
      </c>
      <c r="F65" s="56">
        <v>90</v>
      </c>
      <c r="G65" s="56" t="s">
        <v>65</v>
      </c>
      <c r="H65" s="56">
        <v>5</v>
      </c>
      <c r="I65" s="58">
        <v>40448</v>
      </c>
      <c r="J65" s="202"/>
    </row>
    <row r="66" spans="1:10" x14ac:dyDescent="0.25">
      <c r="A66" s="51">
        <v>2.9</v>
      </c>
      <c r="B66" s="52">
        <v>32767</v>
      </c>
      <c r="C66" s="52">
        <v>1866004866</v>
      </c>
      <c r="D66" s="68">
        <v>29347</v>
      </c>
      <c r="E66" s="52" t="s">
        <v>55</v>
      </c>
      <c r="F66" s="52">
        <v>90</v>
      </c>
      <c r="G66" s="85" t="s">
        <v>57</v>
      </c>
      <c r="H66" s="52">
        <v>6</v>
      </c>
      <c r="I66" s="54">
        <v>40446</v>
      </c>
      <c r="J66" s="202"/>
    </row>
    <row r="67" spans="1:10" x14ac:dyDescent="0.25">
      <c r="A67" s="55">
        <v>2.95</v>
      </c>
      <c r="B67" s="56">
        <v>32767</v>
      </c>
      <c r="C67" s="56">
        <v>1860621705</v>
      </c>
      <c r="D67" s="69">
        <v>390000</v>
      </c>
      <c r="E67" s="56" t="s">
        <v>55</v>
      </c>
      <c r="F67" s="56">
        <v>90</v>
      </c>
      <c r="G67" s="56" t="s">
        <v>61</v>
      </c>
      <c r="H67" s="56">
        <v>3</v>
      </c>
      <c r="I67" s="58">
        <v>40444</v>
      </c>
      <c r="J67" s="202"/>
    </row>
    <row r="68" spans="1:10" x14ac:dyDescent="0.25">
      <c r="A68" s="51">
        <v>2.95</v>
      </c>
      <c r="B68" s="52">
        <v>32767</v>
      </c>
      <c r="C68" s="52">
        <v>1878334642</v>
      </c>
      <c r="D68" s="68">
        <v>371831</v>
      </c>
      <c r="E68" s="52" t="s">
        <v>55</v>
      </c>
      <c r="F68" s="52">
        <v>90</v>
      </c>
      <c r="G68" s="52" t="s">
        <v>66</v>
      </c>
      <c r="H68" s="52">
        <v>5</v>
      </c>
      <c r="I68" s="54">
        <v>40442</v>
      </c>
      <c r="J68" s="202"/>
    </row>
    <row r="69" spans="1:10" x14ac:dyDescent="0.25">
      <c r="A69" s="55">
        <v>2.96</v>
      </c>
      <c r="B69" s="56">
        <v>32767</v>
      </c>
      <c r="C69" s="56">
        <v>1853601224</v>
      </c>
      <c r="D69" s="69">
        <v>5000000</v>
      </c>
      <c r="E69" s="56" t="s">
        <v>55</v>
      </c>
      <c r="F69" s="56">
        <v>90</v>
      </c>
      <c r="G69" s="56" t="s">
        <v>57</v>
      </c>
      <c r="H69" s="56">
        <v>7</v>
      </c>
      <c r="I69" s="58">
        <v>40440</v>
      </c>
      <c r="J69" s="202"/>
    </row>
    <row r="70" spans="1:10" x14ac:dyDescent="0.25">
      <c r="A70" s="51">
        <v>2.99</v>
      </c>
      <c r="B70" s="52">
        <v>32767</v>
      </c>
      <c r="C70" s="52">
        <v>1886842441</v>
      </c>
      <c r="D70" s="68">
        <v>18650</v>
      </c>
      <c r="E70" s="52" t="s">
        <v>55</v>
      </c>
      <c r="F70" s="52">
        <v>14</v>
      </c>
      <c r="G70" s="52" t="s">
        <v>67</v>
      </c>
      <c r="H70" s="52">
        <v>6</v>
      </c>
      <c r="I70" s="54">
        <v>40438</v>
      </c>
      <c r="J70" s="202"/>
    </row>
    <row r="71" spans="1:10" x14ac:dyDescent="0.25">
      <c r="A71" s="55">
        <v>3</v>
      </c>
      <c r="B71" s="56">
        <v>32767</v>
      </c>
      <c r="C71" s="56">
        <v>1790167645</v>
      </c>
      <c r="D71" s="69">
        <v>30000000</v>
      </c>
      <c r="E71" s="56" t="s">
        <v>55</v>
      </c>
      <c r="F71" s="56">
        <v>90</v>
      </c>
      <c r="G71" s="56" t="s">
        <v>66</v>
      </c>
      <c r="H71" s="56">
        <v>7</v>
      </c>
      <c r="I71" s="58">
        <v>40436</v>
      </c>
      <c r="J71" s="202"/>
    </row>
    <row r="72" spans="1:10" x14ac:dyDescent="0.25">
      <c r="A72" s="51">
        <v>3</v>
      </c>
      <c r="B72" s="52">
        <v>32767</v>
      </c>
      <c r="C72" s="52">
        <v>1790285988</v>
      </c>
      <c r="D72" s="68">
        <v>212153</v>
      </c>
      <c r="E72" s="52" t="s">
        <v>55</v>
      </c>
      <c r="F72" s="52">
        <v>90</v>
      </c>
      <c r="G72" s="52" t="s">
        <v>65</v>
      </c>
      <c r="H72" s="52">
        <v>5</v>
      </c>
      <c r="I72" s="54">
        <v>40434</v>
      </c>
      <c r="J72" s="202"/>
    </row>
    <row r="73" spans="1:10" x14ac:dyDescent="0.25">
      <c r="A73" s="55">
        <v>3</v>
      </c>
      <c r="B73" s="56">
        <v>32767</v>
      </c>
      <c r="C73" s="56">
        <v>1790286539</v>
      </c>
      <c r="D73" s="69">
        <v>2082662</v>
      </c>
      <c r="E73" s="56" t="s">
        <v>55</v>
      </c>
      <c r="F73" s="56">
        <v>90</v>
      </c>
      <c r="G73" s="56" t="s">
        <v>68</v>
      </c>
      <c r="H73" s="56">
        <v>6</v>
      </c>
      <c r="I73" s="58">
        <v>40432</v>
      </c>
      <c r="J73" s="202"/>
    </row>
    <row r="74" spans="1:10" x14ac:dyDescent="0.25">
      <c r="A74" s="51">
        <v>3</v>
      </c>
      <c r="B74" s="52">
        <v>32767</v>
      </c>
      <c r="C74" s="52">
        <v>1800866530</v>
      </c>
      <c r="D74" s="68">
        <v>48679</v>
      </c>
      <c r="E74" s="52" t="s">
        <v>55</v>
      </c>
      <c r="F74" s="52">
        <v>90</v>
      </c>
      <c r="G74" s="52" t="s">
        <v>69</v>
      </c>
      <c r="H74" s="52">
        <v>6</v>
      </c>
      <c r="I74" s="54">
        <v>40430</v>
      </c>
      <c r="J74" s="202"/>
    </row>
    <row r="75" spans="1:10" x14ac:dyDescent="0.25">
      <c r="A75" s="55">
        <v>3</v>
      </c>
      <c r="B75" s="56">
        <v>32767</v>
      </c>
      <c r="C75" s="56">
        <v>1803747985</v>
      </c>
      <c r="D75" s="69">
        <v>6171154</v>
      </c>
      <c r="E75" s="56" t="s">
        <v>55</v>
      </c>
      <c r="F75" s="56">
        <v>90</v>
      </c>
      <c r="G75" s="56" t="s">
        <v>65</v>
      </c>
      <c r="H75" s="56">
        <v>5</v>
      </c>
      <c r="I75" s="58">
        <v>40428</v>
      </c>
      <c r="J75" s="202"/>
    </row>
    <row r="76" spans="1:10" x14ac:dyDescent="0.25">
      <c r="A76" s="51">
        <v>3</v>
      </c>
      <c r="B76" s="52">
        <v>32767</v>
      </c>
      <c r="C76" s="52">
        <v>1803748164</v>
      </c>
      <c r="D76" s="68">
        <v>125090</v>
      </c>
      <c r="E76" s="52" t="s">
        <v>55</v>
      </c>
      <c r="F76" s="52">
        <v>90</v>
      </c>
      <c r="G76" s="52" t="s">
        <v>65</v>
      </c>
      <c r="H76" s="52">
        <v>5</v>
      </c>
      <c r="I76" s="54">
        <v>40426</v>
      </c>
      <c r="J76" s="202"/>
    </row>
    <row r="77" spans="1:10" x14ac:dyDescent="0.25">
      <c r="A77" s="55">
        <v>3</v>
      </c>
      <c r="B77" s="56">
        <v>32767</v>
      </c>
      <c r="C77" s="56">
        <v>1832583042</v>
      </c>
      <c r="D77" s="69">
        <v>30000000</v>
      </c>
      <c r="E77" s="56" t="s">
        <v>55</v>
      </c>
      <c r="F77" s="56">
        <v>90</v>
      </c>
      <c r="G77" s="56" t="s">
        <v>67</v>
      </c>
      <c r="H77" s="56">
        <v>5</v>
      </c>
      <c r="I77" s="58">
        <v>40424</v>
      </c>
      <c r="J77" s="202"/>
    </row>
    <row r="78" spans="1:10" x14ac:dyDescent="0.25">
      <c r="A78" s="51">
        <v>3</v>
      </c>
      <c r="B78" s="52">
        <v>32767</v>
      </c>
      <c r="C78" s="52">
        <v>1832992193</v>
      </c>
      <c r="D78" s="68">
        <v>58774430</v>
      </c>
      <c r="E78" s="52" t="s">
        <v>55</v>
      </c>
      <c r="F78" s="52">
        <v>90</v>
      </c>
      <c r="G78" s="52" t="s">
        <v>67</v>
      </c>
      <c r="H78" s="52">
        <v>5</v>
      </c>
      <c r="I78" s="54">
        <v>40422</v>
      </c>
      <c r="J78" s="202"/>
    </row>
    <row r="79" spans="1:10" x14ac:dyDescent="0.25">
      <c r="A79" s="55">
        <v>3</v>
      </c>
      <c r="B79" s="56">
        <v>32767</v>
      </c>
      <c r="C79" s="56">
        <v>1839473577</v>
      </c>
      <c r="D79" s="69">
        <v>165134</v>
      </c>
      <c r="E79" s="56" t="s">
        <v>55</v>
      </c>
      <c r="F79" s="56">
        <v>90</v>
      </c>
      <c r="G79" s="56" t="s">
        <v>57</v>
      </c>
      <c r="H79" s="56">
        <v>7</v>
      </c>
      <c r="I79" s="58">
        <v>40420</v>
      </c>
      <c r="J79" s="202"/>
    </row>
    <row r="80" spans="1:10" x14ac:dyDescent="0.25">
      <c r="A80" s="51">
        <v>3</v>
      </c>
      <c r="B80" s="52">
        <v>32767</v>
      </c>
      <c r="C80" s="52">
        <v>1861789696</v>
      </c>
      <c r="D80" s="68">
        <v>36000000</v>
      </c>
      <c r="E80" s="52" t="s">
        <v>55</v>
      </c>
      <c r="F80" s="52">
        <v>90</v>
      </c>
      <c r="G80" s="52" t="s">
        <v>57</v>
      </c>
      <c r="H80" s="52">
        <v>1</v>
      </c>
      <c r="I80" s="54">
        <v>40418</v>
      </c>
      <c r="J80" s="202"/>
    </row>
    <row r="81" spans="1:10" x14ac:dyDescent="0.25">
      <c r="A81" s="55">
        <v>3</v>
      </c>
      <c r="B81" s="56">
        <v>32767</v>
      </c>
      <c r="C81" s="56">
        <v>1861792001</v>
      </c>
      <c r="D81" s="69">
        <v>36000000</v>
      </c>
      <c r="E81" s="56" t="s">
        <v>55</v>
      </c>
      <c r="F81" s="56">
        <v>90</v>
      </c>
      <c r="G81" s="56" t="s">
        <v>57</v>
      </c>
      <c r="H81" s="56">
        <v>1</v>
      </c>
      <c r="I81" s="58">
        <v>40416</v>
      </c>
      <c r="J81" s="202"/>
    </row>
    <row r="82" spans="1:10" x14ac:dyDescent="0.25">
      <c r="A82" s="51">
        <v>3</v>
      </c>
      <c r="B82" s="52">
        <v>32767</v>
      </c>
      <c r="C82" s="52">
        <v>1879935016</v>
      </c>
      <c r="D82" s="68">
        <v>86634</v>
      </c>
      <c r="E82" s="52" t="s">
        <v>55</v>
      </c>
      <c r="F82" s="52">
        <v>90</v>
      </c>
      <c r="G82" s="52" t="s">
        <v>61</v>
      </c>
      <c r="H82" s="52">
        <v>3</v>
      </c>
      <c r="I82" s="54">
        <v>40414</v>
      </c>
      <c r="J82" s="202"/>
    </row>
    <row r="83" spans="1:10" x14ac:dyDescent="0.25">
      <c r="A83" s="55">
        <v>3</v>
      </c>
      <c r="B83" s="56">
        <v>32767</v>
      </c>
      <c r="C83" s="56">
        <v>1886544163</v>
      </c>
      <c r="D83" s="69">
        <v>14531</v>
      </c>
      <c r="E83" s="56" t="s">
        <v>55</v>
      </c>
      <c r="F83" s="56">
        <v>14</v>
      </c>
      <c r="G83" s="56" t="s">
        <v>63</v>
      </c>
      <c r="H83" s="56">
        <v>2</v>
      </c>
      <c r="I83" s="58">
        <v>40412</v>
      </c>
      <c r="J83" s="202"/>
    </row>
    <row r="84" spans="1:10" x14ac:dyDescent="0.25">
      <c r="A84" s="51">
        <v>3</v>
      </c>
      <c r="B84" s="52">
        <v>32767</v>
      </c>
      <c r="C84" s="52">
        <v>1897061703</v>
      </c>
      <c r="D84" s="68">
        <v>3</v>
      </c>
      <c r="E84" s="52" t="s">
        <v>55</v>
      </c>
      <c r="F84" s="52">
        <v>1</v>
      </c>
      <c r="G84" s="52" t="s">
        <v>61</v>
      </c>
      <c r="H84" s="52">
        <v>3</v>
      </c>
      <c r="I84" s="54">
        <v>40410</v>
      </c>
      <c r="J84" s="202"/>
    </row>
    <row r="85" spans="1:10" x14ac:dyDescent="0.25">
      <c r="A85" s="55">
        <v>3.1</v>
      </c>
      <c r="B85" s="56">
        <v>32767</v>
      </c>
      <c r="C85" s="56">
        <v>1886763806</v>
      </c>
      <c r="D85" s="69">
        <v>19993</v>
      </c>
      <c r="E85" s="56" t="s">
        <v>55</v>
      </c>
      <c r="F85" s="56">
        <v>90</v>
      </c>
      <c r="G85" s="56" t="s">
        <v>57</v>
      </c>
      <c r="H85" s="56">
        <v>7</v>
      </c>
      <c r="I85" s="58">
        <v>40408</v>
      </c>
      <c r="J85" s="202"/>
    </row>
    <row r="86" spans="1:10" x14ac:dyDescent="0.25">
      <c r="A86" s="51">
        <v>3.15</v>
      </c>
      <c r="B86" s="52">
        <v>32767</v>
      </c>
      <c r="C86" s="52">
        <v>1895973957</v>
      </c>
      <c r="D86" s="68">
        <v>461661</v>
      </c>
      <c r="E86" s="52" t="s">
        <v>55</v>
      </c>
      <c r="F86" s="52">
        <v>1</v>
      </c>
      <c r="G86" s="52" t="s">
        <v>63</v>
      </c>
      <c r="H86" s="52">
        <v>4</v>
      </c>
      <c r="I86" s="54">
        <v>40406</v>
      </c>
      <c r="J86" s="202"/>
    </row>
    <row r="87" spans="1:10" x14ac:dyDescent="0.25">
      <c r="A87" s="55">
        <v>3.3</v>
      </c>
      <c r="B87" s="56">
        <v>32767</v>
      </c>
      <c r="C87" s="56">
        <v>1833358164</v>
      </c>
      <c r="D87" s="69">
        <v>30974592</v>
      </c>
      <c r="E87" s="56" t="s">
        <v>55</v>
      </c>
      <c r="F87" s="56">
        <v>90</v>
      </c>
      <c r="G87" s="56" t="s">
        <v>68</v>
      </c>
      <c r="H87" s="56">
        <v>4</v>
      </c>
      <c r="I87" s="58">
        <v>40404</v>
      </c>
      <c r="J87" s="202"/>
    </row>
    <row r="88" spans="1:10" x14ac:dyDescent="0.25">
      <c r="A88" s="51">
        <v>4</v>
      </c>
      <c r="B88" s="52">
        <v>32767</v>
      </c>
      <c r="C88" s="52">
        <v>1896951342</v>
      </c>
      <c r="D88" s="68">
        <v>21250</v>
      </c>
      <c r="E88" s="52" t="s">
        <v>55</v>
      </c>
      <c r="F88" s="52">
        <v>1</v>
      </c>
      <c r="G88" s="52" t="s">
        <v>57</v>
      </c>
      <c r="H88" s="52">
        <v>7</v>
      </c>
      <c r="I88" s="54">
        <v>40402</v>
      </c>
      <c r="J88" s="202"/>
    </row>
    <row r="89" spans="1:10" x14ac:dyDescent="0.25">
      <c r="A89" s="55">
        <v>4.0999999999999996</v>
      </c>
      <c r="B89" s="56">
        <v>32767</v>
      </c>
      <c r="C89" s="56">
        <v>1888516692</v>
      </c>
      <c r="D89" s="69">
        <v>27756</v>
      </c>
      <c r="E89" s="56" t="s">
        <v>55</v>
      </c>
      <c r="F89" s="56">
        <v>90</v>
      </c>
      <c r="G89" s="56" t="s">
        <v>57</v>
      </c>
      <c r="H89" s="56">
        <v>7</v>
      </c>
      <c r="I89" s="58">
        <v>40400</v>
      </c>
      <c r="J89" s="202"/>
    </row>
    <row r="90" spans="1:10" x14ac:dyDescent="0.25">
      <c r="A90" s="51">
        <v>4.2</v>
      </c>
      <c r="B90" s="52">
        <v>32767</v>
      </c>
      <c r="C90" s="52">
        <v>1878829720</v>
      </c>
      <c r="D90" s="68">
        <v>2554</v>
      </c>
      <c r="E90" s="52" t="s">
        <v>55</v>
      </c>
      <c r="F90" s="52">
        <v>14</v>
      </c>
      <c r="G90" s="52" t="s">
        <v>57</v>
      </c>
      <c r="H90" s="52">
        <v>7</v>
      </c>
      <c r="I90" s="54">
        <v>40398</v>
      </c>
      <c r="J90" s="202"/>
    </row>
    <row r="91" spans="1:10" x14ac:dyDescent="0.25">
      <c r="A91" s="55">
        <v>4.33</v>
      </c>
      <c r="B91" s="56">
        <v>32767</v>
      </c>
      <c r="C91" s="56">
        <v>1894062078</v>
      </c>
      <c r="D91" s="69">
        <v>58951923</v>
      </c>
      <c r="E91" s="56" t="s">
        <v>55</v>
      </c>
      <c r="F91" s="56">
        <v>90</v>
      </c>
      <c r="G91" s="56" t="s">
        <v>68</v>
      </c>
      <c r="H91" s="56">
        <v>4</v>
      </c>
      <c r="I91" s="58">
        <v>40396</v>
      </c>
      <c r="J91" s="202"/>
    </row>
    <row r="92" spans="1:10" x14ac:dyDescent="0.25">
      <c r="A92" s="51">
        <v>4.4000000000000004</v>
      </c>
      <c r="B92" s="52">
        <v>32767</v>
      </c>
      <c r="C92" s="52">
        <v>1892675365</v>
      </c>
      <c r="D92" s="68">
        <v>1080</v>
      </c>
      <c r="E92" s="52" t="s">
        <v>55</v>
      </c>
      <c r="F92" s="52">
        <v>14</v>
      </c>
      <c r="G92" s="52" t="s">
        <v>57</v>
      </c>
      <c r="H92" s="52">
        <v>7</v>
      </c>
      <c r="I92" s="54">
        <v>40394</v>
      </c>
      <c r="J92" s="202"/>
    </row>
    <row r="93" spans="1:10" x14ac:dyDescent="0.25">
      <c r="A93" s="55">
        <v>4.99</v>
      </c>
      <c r="B93" s="56">
        <v>32767</v>
      </c>
      <c r="C93" s="56">
        <v>1894779613</v>
      </c>
      <c r="D93" s="69">
        <v>100000</v>
      </c>
      <c r="E93" s="56" t="s">
        <v>55</v>
      </c>
      <c r="F93" s="56">
        <v>7</v>
      </c>
      <c r="G93" s="56" t="s">
        <v>57</v>
      </c>
      <c r="H93" s="56">
        <v>7</v>
      </c>
      <c r="I93" s="58">
        <v>40392</v>
      </c>
      <c r="J93" s="202"/>
    </row>
    <row r="94" spans="1:10" x14ac:dyDescent="0.25">
      <c r="A94" s="51">
        <v>5</v>
      </c>
      <c r="B94" s="52">
        <v>32767</v>
      </c>
      <c r="C94" s="52">
        <v>1890887476</v>
      </c>
      <c r="D94" s="68">
        <v>10753130</v>
      </c>
      <c r="E94" s="52" t="s">
        <v>55</v>
      </c>
      <c r="F94" s="52">
        <v>7</v>
      </c>
      <c r="G94" s="52" t="s">
        <v>68</v>
      </c>
      <c r="H94" s="52">
        <v>4</v>
      </c>
      <c r="I94" s="54">
        <v>40390</v>
      </c>
      <c r="J94" s="202"/>
    </row>
    <row r="95" spans="1:10" x14ac:dyDescent="0.25">
      <c r="A95" s="55">
        <v>8.99</v>
      </c>
      <c r="B95" s="56">
        <v>32767</v>
      </c>
      <c r="C95" s="56">
        <v>1893435579</v>
      </c>
      <c r="D95" s="69">
        <v>63045</v>
      </c>
      <c r="E95" s="56" t="s">
        <v>55</v>
      </c>
      <c r="F95" s="56">
        <v>14</v>
      </c>
      <c r="G95" s="56" t="s">
        <v>57</v>
      </c>
      <c r="H95" s="56">
        <v>7</v>
      </c>
      <c r="I95" s="58">
        <v>40388</v>
      </c>
      <c r="J95" s="202"/>
    </row>
    <row r="96" spans="1:10" x14ac:dyDescent="0.25">
      <c r="A96" s="51">
        <v>9.31</v>
      </c>
      <c r="B96" s="52">
        <v>32767</v>
      </c>
      <c r="C96" s="52">
        <v>1895510286</v>
      </c>
      <c r="D96" s="68">
        <v>2078</v>
      </c>
      <c r="E96" s="52" t="s">
        <v>55</v>
      </c>
      <c r="F96" s="52">
        <v>1</v>
      </c>
      <c r="G96" s="52" t="s">
        <v>63</v>
      </c>
      <c r="H96" s="52">
        <v>2</v>
      </c>
      <c r="I96" s="54">
        <v>40386</v>
      </c>
      <c r="J96" s="202"/>
    </row>
    <row r="97" spans="1:10" x14ac:dyDescent="0.25">
      <c r="A97" s="55">
        <v>11.89</v>
      </c>
      <c r="B97" s="56">
        <v>32767</v>
      </c>
      <c r="C97" s="56">
        <v>1801027589</v>
      </c>
      <c r="D97" s="69">
        <v>1000000</v>
      </c>
      <c r="E97" s="56" t="s">
        <v>55</v>
      </c>
      <c r="F97" s="56">
        <v>90</v>
      </c>
      <c r="G97" s="56" t="s">
        <v>58</v>
      </c>
      <c r="H97" s="56">
        <v>7</v>
      </c>
      <c r="I97" s="58">
        <v>40384</v>
      </c>
      <c r="J97" s="202"/>
    </row>
    <row r="98" spans="1:10" x14ac:dyDescent="0.25">
      <c r="A98" s="51">
        <v>55</v>
      </c>
      <c r="B98" s="52">
        <v>32767</v>
      </c>
      <c r="C98" s="52">
        <v>1830468971</v>
      </c>
      <c r="D98" s="68">
        <v>56563</v>
      </c>
      <c r="E98" s="52" t="s">
        <v>55</v>
      </c>
      <c r="F98" s="52">
        <v>90</v>
      </c>
      <c r="G98" s="52" t="s">
        <v>61</v>
      </c>
      <c r="H98" s="52">
        <v>3</v>
      </c>
      <c r="I98" s="54">
        <v>40382</v>
      </c>
      <c r="J98" s="202"/>
    </row>
    <row r="99" spans="1:10" x14ac:dyDescent="0.25">
      <c r="A99" s="55">
        <v>220</v>
      </c>
      <c r="B99" s="56">
        <v>32767</v>
      </c>
      <c r="C99" s="56">
        <v>1896746089</v>
      </c>
      <c r="D99" s="69">
        <v>2497</v>
      </c>
      <c r="E99" s="56" t="s">
        <v>55</v>
      </c>
      <c r="F99" s="56">
        <v>1</v>
      </c>
      <c r="G99" s="56" t="s">
        <v>57</v>
      </c>
      <c r="H99" s="56">
        <v>7</v>
      </c>
      <c r="I99" s="58">
        <v>40380</v>
      </c>
      <c r="J99" s="202"/>
    </row>
    <row r="100" spans="1:10" x14ac:dyDescent="0.25">
      <c r="A100" s="51">
        <v>2.5</v>
      </c>
      <c r="B100" s="52">
        <v>-1</v>
      </c>
      <c r="C100" s="52">
        <v>1878511634</v>
      </c>
      <c r="D100" s="68">
        <v>200000000</v>
      </c>
      <c r="E100" s="52" t="s">
        <v>56</v>
      </c>
      <c r="F100" s="52">
        <v>90</v>
      </c>
      <c r="G100" s="52" t="s">
        <v>59</v>
      </c>
      <c r="H100" s="52">
        <v>8</v>
      </c>
      <c r="I100" s="54">
        <v>40378</v>
      </c>
      <c r="J100" s="202"/>
    </row>
    <row r="101" spans="1:10" x14ac:dyDescent="0.25">
      <c r="A101" s="55">
        <v>2.5</v>
      </c>
      <c r="B101" s="56">
        <v>-1</v>
      </c>
      <c r="C101" s="56">
        <v>1897172325</v>
      </c>
      <c r="D101" s="69">
        <v>19999999</v>
      </c>
      <c r="E101" s="56" t="s">
        <v>56</v>
      </c>
      <c r="F101" s="56">
        <v>90</v>
      </c>
      <c r="G101" s="56" t="s">
        <v>60</v>
      </c>
      <c r="H101" s="56">
        <v>6</v>
      </c>
      <c r="I101" s="58">
        <v>40376</v>
      </c>
      <c r="J101" s="202"/>
    </row>
    <row r="102" spans="1:10" x14ac:dyDescent="0.25">
      <c r="A102" s="51">
        <v>2.5</v>
      </c>
      <c r="B102" s="52">
        <v>-1</v>
      </c>
      <c r="C102" s="52">
        <v>1897191827</v>
      </c>
      <c r="D102" s="68">
        <v>4000000</v>
      </c>
      <c r="E102" s="52" t="s">
        <v>56</v>
      </c>
      <c r="F102" s="52">
        <v>7</v>
      </c>
      <c r="G102" s="52" t="s">
        <v>61</v>
      </c>
      <c r="H102" s="52">
        <v>6</v>
      </c>
      <c r="I102" s="54">
        <v>40374</v>
      </c>
      <c r="J102" s="202"/>
    </row>
    <row r="103" spans="1:10" x14ac:dyDescent="0.25">
      <c r="A103" s="55">
        <v>2.42</v>
      </c>
      <c r="B103" s="56">
        <v>-1</v>
      </c>
      <c r="C103" s="56">
        <v>1897027219</v>
      </c>
      <c r="D103" s="69">
        <v>87000000</v>
      </c>
      <c r="E103" s="56" t="s">
        <v>56</v>
      </c>
      <c r="F103" s="56">
        <v>90</v>
      </c>
      <c r="G103" s="56" t="s">
        <v>68</v>
      </c>
      <c r="H103" s="56">
        <v>4</v>
      </c>
      <c r="I103" s="58">
        <v>40372</v>
      </c>
      <c r="J103" s="202"/>
    </row>
    <row r="104" spans="1:10" x14ac:dyDescent="0.25">
      <c r="A104" s="51">
        <v>2.42</v>
      </c>
      <c r="B104" s="52">
        <v>-1</v>
      </c>
      <c r="C104" s="52">
        <v>1897162062</v>
      </c>
      <c r="D104" s="68">
        <v>50000000</v>
      </c>
      <c r="E104" s="52" t="s">
        <v>56</v>
      </c>
      <c r="F104" s="52">
        <v>90</v>
      </c>
      <c r="G104" s="52" t="s">
        <v>60</v>
      </c>
      <c r="H104" s="52">
        <v>3</v>
      </c>
      <c r="I104" s="54">
        <v>40370</v>
      </c>
      <c r="J104" s="202"/>
    </row>
    <row r="105" spans="1:10" x14ac:dyDescent="0.25">
      <c r="A105" s="55">
        <v>2.41</v>
      </c>
      <c r="B105" s="56">
        <v>-1</v>
      </c>
      <c r="C105" s="56">
        <v>1896934983</v>
      </c>
      <c r="D105" s="69">
        <v>110000000</v>
      </c>
      <c r="E105" s="56" t="s">
        <v>56</v>
      </c>
      <c r="F105" s="56">
        <v>90</v>
      </c>
      <c r="G105" s="56" t="s">
        <v>68</v>
      </c>
      <c r="H105" s="56">
        <v>4</v>
      </c>
      <c r="I105" s="58">
        <v>40368</v>
      </c>
      <c r="J105" s="202"/>
    </row>
    <row r="106" spans="1:10" x14ac:dyDescent="0.25">
      <c r="A106" s="51">
        <v>2.4</v>
      </c>
      <c r="B106" s="52">
        <v>-1</v>
      </c>
      <c r="C106" s="52">
        <v>1893967844</v>
      </c>
      <c r="D106" s="68">
        <v>100000000</v>
      </c>
      <c r="E106" s="52" t="s">
        <v>56</v>
      </c>
      <c r="F106" s="52">
        <v>90</v>
      </c>
      <c r="G106" s="52" t="s">
        <v>68</v>
      </c>
      <c r="H106" s="52">
        <v>4</v>
      </c>
      <c r="I106" s="54">
        <v>40366</v>
      </c>
      <c r="J106" s="202"/>
    </row>
    <row r="107" spans="1:10" x14ac:dyDescent="0.25">
      <c r="A107" s="55">
        <v>2.4</v>
      </c>
      <c r="B107" s="56">
        <v>0</v>
      </c>
      <c r="C107" s="56">
        <v>1895724938</v>
      </c>
      <c r="D107" s="69">
        <v>100000000</v>
      </c>
      <c r="E107" s="56" t="s">
        <v>56</v>
      </c>
      <c r="F107" s="56">
        <v>90</v>
      </c>
      <c r="G107" s="56" t="s">
        <v>68</v>
      </c>
      <c r="H107" s="56">
        <v>4</v>
      </c>
      <c r="I107" s="58">
        <v>40364</v>
      </c>
      <c r="J107" s="202"/>
    </row>
    <row r="108" spans="1:10" x14ac:dyDescent="0.25">
      <c r="A108" s="51">
        <v>2.4</v>
      </c>
      <c r="B108" s="52">
        <v>-1</v>
      </c>
      <c r="C108" s="52">
        <v>1896372948</v>
      </c>
      <c r="D108" s="68">
        <v>10000000</v>
      </c>
      <c r="E108" s="52" t="s">
        <v>56</v>
      </c>
      <c r="F108" s="52">
        <v>90</v>
      </c>
      <c r="G108" s="52" t="s">
        <v>62</v>
      </c>
      <c r="H108" s="52">
        <v>7</v>
      </c>
      <c r="I108" s="54">
        <v>40362</v>
      </c>
      <c r="J108" s="202"/>
    </row>
    <row r="109" spans="1:10" x14ac:dyDescent="0.25">
      <c r="A109" s="55">
        <v>2.4</v>
      </c>
      <c r="B109" s="56">
        <v>-1</v>
      </c>
      <c r="C109" s="56">
        <v>1896872986</v>
      </c>
      <c r="D109" s="69">
        <v>10000000</v>
      </c>
      <c r="E109" s="56" t="s">
        <v>56</v>
      </c>
      <c r="F109" s="56">
        <v>90</v>
      </c>
      <c r="G109" s="56" t="s">
        <v>63</v>
      </c>
      <c r="H109" s="56">
        <v>5</v>
      </c>
      <c r="I109" s="58">
        <v>40360</v>
      </c>
      <c r="J109" s="202"/>
    </row>
    <row r="110" spans="1:10" x14ac:dyDescent="0.25">
      <c r="A110" s="51">
        <v>2.4</v>
      </c>
      <c r="B110" s="52">
        <v>-1</v>
      </c>
      <c r="C110" s="52">
        <v>1896943406</v>
      </c>
      <c r="D110" s="68">
        <v>20000000</v>
      </c>
      <c r="E110" s="52" t="s">
        <v>56</v>
      </c>
      <c r="F110" s="52">
        <v>14</v>
      </c>
      <c r="G110" s="52" t="s">
        <v>64</v>
      </c>
      <c r="H110" s="52">
        <v>2</v>
      </c>
      <c r="I110" s="54">
        <v>40358</v>
      </c>
      <c r="J110" s="202"/>
    </row>
    <row r="111" spans="1:10" x14ac:dyDescent="0.25">
      <c r="A111" s="55">
        <v>2.4</v>
      </c>
      <c r="B111" s="56">
        <v>-1</v>
      </c>
      <c r="C111" s="56">
        <v>1893637376</v>
      </c>
      <c r="D111" s="69">
        <v>50000000</v>
      </c>
      <c r="E111" s="56" t="s">
        <v>56</v>
      </c>
      <c r="F111" s="56">
        <v>90</v>
      </c>
      <c r="G111" s="56" t="s">
        <v>68</v>
      </c>
      <c r="H111" s="56">
        <v>4</v>
      </c>
      <c r="I111" s="58">
        <v>40356</v>
      </c>
      <c r="J111" s="202"/>
    </row>
    <row r="112" spans="1:10" x14ac:dyDescent="0.25">
      <c r="A112" s="51">
        <v>2.39</v>
      </c>
      <c r="B112" s="52">
        <v>-1</v>
      </c>
      <c r="C112" s="52">
        <v>1819341337</v>
      </c>
      <c r="D112" s="68">
        <v>5000000</v>
      </c>
      <c r="E112" s="52" t="s">
        <v>56</v>
      </c>
      <c r="F112" s="52">
        <v>90</v>
      </c>
      <c r="G112" s="52" t="s">
        <v>62</v>
      </c>
      <c r="H112" s="52">
        <v>7</v>
      </c>
      <c r="I112" s="54">
        <v>40354</v>
      </c>
      <c r="J112" s="202"/>
    </row>
    <row r="113" spans="1:10" x14ac:dyDescent="0.25">
      <c r="A113" s="55">
        <v>2.38</v>
      </c>
      <c r="B113" s="56">
        <v>-1</v>
      </c>
      <c r="C113" s="56">
        <v>1883507771</v>
      </c>
      <c r="D113" s="69">
        <v>2500000</v>
      </c>
      <c r="E113" s="56" t="s">
        <v>56</v>
      </c>
      <c r="F113" s="56">
        <v>30</v>
      </c>
      <c r="G113" s="56" t="s">
        <v>62</v>
      </c>
      <c r="H113" s="56">
        <v>7</v>
      </c>
      <c r="I113" s="58">
        <v>40352</v>
      </c>
      <c r="J113" s="202"/>
    </row>
    <row r="114" spans="1:10" x14ac:dyDescent="0.25">
      <c r="A114" s="51">
        <v>2.37</v>
      </c>
      <c r="B114" s="52">
        <v>-1</v>
      </c>
      <c r="C114" s="52">
        <v>1876394572</v>
      </c>
      <c r="D114" s="68">
        <v>10000000</v>
      </c>
      <c r="E114" s="52" t="s">
        <v>56</v>
      </c>
      <c r="F114" s="52">
        <v>90</v>
      </c>
      <c r="G114" s="52" t="s">
        <v>62</v>
      </c>
      <c r="H114" s="52">
        <v>7</v>
      </c>
      <c r="I114" s="54">
        <v>40350</v>
      </c>
      <c r="J114" s="202"/>
    </row>
    <row r="115" spans="1:10" x14ac:dyDescent="0.25">
      <c r="A115" s="55">
        <v>2.37</v>
      </c>
      <c r="B115" s="56">
        <v>0</v>
      </c>
      <c r="C115" s="56">
        <v>1880612807</v>
      </c>
      <c r="D115" s="69">
        <v>2000000</v>
      </c>
      <c r="E115" s="56" t="s">
        <v>56</v>
      </c>
      <c r="F115" s="56">
        <v>90</v>
      </c>
      <c r="G115" s="56" t="s">
        <v>64</v>
      </c>
      <c r="H115" s="56">
        <v>5</v>
      </c>
      <c r="I115" s="58">
        <v>40348</v>
      </c>
      <c r="J115" s="202"/>
    </row>
    <row r="116" spans="1:10" x14ac:dyDescent="0.25">
      <c r="A116" s="51">
        <v>2.37</v>
      </c>
      <c r="B116" s="52">
        <v>-1</v>
      </c>
      <c r="C116" s="52">
        <v>1887515131</v>
      </c>
      <c r="D116" s="68">
        <v>10000000</v>
      </c>
      <c r="E116" s="52" t="s">
        <v>56</v>
      </c>
      <c r="F116" s="52">
        <v>90</v>
      </c>
      <c r="G116" s="52" t="s">
        <v>65</v>
      </c>
      <c r="H116" s="52">
        <v>4</v>
      </c>
      <c r="I116" s="54">
        <v>40346</v>
      </c>
      <c r="J116" s="202"/>
    </row>
    <row r="117" spans="1:10" x14ac:dyDescent="0.25">
      <c r="A117" s="55">
        <v>2.36</v>
      </c>
      <c r="B117" s="56">
        <v>1</v>
      </c>
      <c r="C117" s="56">
        <v>1891259851</v>
      </c>
      <c r="D117" s="69">
        <v>262000000</v>
      </c>
      <c r="E117" s="56" t="s">
        <v>56</v>
      </c>
      <c r="F117" s="56">
        <v>90</v>
      </c>
      <c r="G117" s="56" t="s">
        <v>65</v>
      </c>
      <c r="H117" s="56">
        <v>4</v>
      </c>
      <c r="I117" s="58">
        <v>40344</v>
      </c>
      <c r="J117" s="202"/>
    </row>
    <row r="118" spans="1:10" x14ac:dyDescent="0.25">
      <c r="A118" s="51">
        <v>2.35</v>
      </c>
      <c r="B118" s="52">
        <v>-1</v>
      </c>
      <c r="C118" s="52">
        <v>1895794752</v>
      </c>
      <c r="D118" s="68">
        <v>25000000</v>
      </c>
      <c r="E118" s="52" t="s">
        <v>56</v>
      </c>
      <c r="F118" s="52">
        <v>7</v>
      </c>
      <c r="G118" s="52" t="s">
        <v>65</v>
      </c>
      <c r="H118" s="52">
        <v>4</v>
      </c>
      <c r="I118" s="54">
        <v>40342</v>
      </c>
      <c r="J118" s="202"/>
    </row>
    <row r="119" spans="1:10" x14ac:dyDescent="0.25">
      <c r="A119" s="55">
        <v>2.34</v>
      </c>
      <c r="B119" s="56">
        <v>-1</v>
      </c>
      <c r="C119" s="56">
        <v>1888874876</v>
      </c>
      <c r="D119" s="69">
        <v>300000000</v>
      </c>
      <c r="E119" s="56" t="s">
        <v>56</v>
      </c>
      <c r="F119" s="56">
        <v>30</v>
      </c>
      <c r="G119" s="56" t="s">
        <v>68</v>
      </c>
      <c r="H119" s="56">
        <v>4</v>
      </c>
      <c r="I119" s="58">
        <v>40340</v>
      </c>
      <c r="J119" s="202"/>
    </row>
    <row r="120" spans="1:10" x14ac:dyDescent="0.25">
      <c r="A120" s="51">
        <v>2.33</v>
      </c>
      <c r="B120" s="52">
        <v>-1</v>
      </c>
      <c r="C120" s="52">
        <v>1790355055</v>
      </c>
      <c r="D120" s="68">
        <v>40000000</v>
      </c>
      <c r="E120" s="52" t="s">
        <v>56</v>
      </c>
      <c r="F120" s="52">
        <v>90</v>
      </c>
      <c r="G120" s="52" t="s">
        <v>62</v>
      </c>
      <c r="H120" s="52">
        <v>7</v>
      </c>
      <c r="I120" s="54">
        <v>40338</v>
      </c>
      <c r="J120" s="202"/>
    </row>
    <row r="121" spans="1:10" x14ac:dyDescent="0.25">
      <c r="A121" s="55">
        <v>2.3199999999999998</v>
      </c>
      <c r="B121" s="56">
        <v>-1</v>
      </c>
      <c r="C121" s="56">
        <v>1891579917</v>
      </c>
      <c r="D121" s="69">
        <v>400000000</v>
      </c>
      <c r="E121" s="56" t="s">
        <v>56</v>
      </c>
      <c r="F121" s="56">
        <v>90</v>
      </c>
      <c r="G121" s="56" t="s">
        <v>57</v>
      </c>
      <c r="H121" s="56">
        <v>1</v>
      </c>
      <c r="I121" s="58">
        <v>40336</v>
      </c>
      <c r="J121" s="202"/>
    </row>
    <row r="122" spans="1:10" x14ac:dyDescent="0.25">
      <c r="A122" s="51">
        <v>2.31</v>
      </c>
      <c r="B122" s="52">
        <v>-1</v>
      </c>
      <c r="C122" s="52">
        <v>1858051535</v>
      </c>
      <c r="D122" s="68">
        <v>800000000</v>
      </c>
      <c r="E122" s="52" t="s">
        <v>56</v>
      </c>
      <c r="F122" s="52">
        <v>90</v>
      </c>
      <c r="G122" s="52" t="s">
        <v>66</v>
      </c>
      <c r="H122" s="52">
        <v>5</v>
      </c>
      <c r="I122" s="54">
        <v>40334</v>
      </c>
      <c r="J122" s="202"/>
    </row>
    <row r="123" spans="1:10" x14ac:dyDescent="0.25">
      <c r="A123" s="55">
        <v>2.31</v>
      </c>
      <c r="B123" s="56">
        <v>0</v>
      </c>
      <c r="C123" s="56">
        <v>1897185361</v>
      </c>
      <c r="D123" s="69">
        <v>4000000</v>
      </c>
      <c r="E123" s="56" t="s">
        <v>56</v>
      </c>
      <c r="F123" s="56">
        <v>3</v>
      </c>
      <c r="G123" s="56" t="s">
        <v>63</v>
      </c>
      <c r="H123" s="56">
        <v>2</v>
      </c>
      <c r="I123" s="58">
        <v>40332</v>
      </c>
      <c r="J123" s="202"/>
    </row>
    <row r="124" spans="1:10" x14ac:dyDescent="0.25">
      <c r="A124" s="51">
        <v>2.2999999999999998</v>
      </c>
      <c r="B124" s="52">
        <v>0</v>
      </c>
      <c r="C124" s="52">
        <v>1883563816</v>
      </c>
      <c r="D124" s="68">
        <v>300000000</v>
      </c>
      <c r="E124" s="52" t="s">
        <v>56</v>
      </c>
      <c r="F124" s="52">
        <v>90</v>
      </c>
      <c r="G124" s="52" t="s">
        <v>63</v>
      </c>
      <c r="H124" s="52">
        <v>2</v>
      </c>
      <c r="I124" s="54">
        <v>40330</v>
      </c>
      <c r="J124" s="202"/>
    </row>
    <row r="125" spans="1:10" x14ac:dyDescent="0.25">
      <c r="A125" s="55">
        <v>2.29</v>
      </c>
      <c r="B125" s="56">
        <v>-1</v>
      </c>
      <c r="C125" s="56">
        <v>1890663670</v>
      </c>
      <c r="D125" s="69">
        <v>8335395</v>
      </c>
      <c r="E125" s="56" t="s">
        <v>56</v>
      </c>
      <c r="F125" s="56">
        <v>90</v>
      </c>
      <c r="G125" s="56" t="s">
        <v>68</v>
      </c>
      <c r="H125" s="56">
        <v>4</v>
      </c>
      <c r="I125" s="58">
        <v>40328</v>
      </c>
      <c r="J125" s="202"/>
    </row>
    <row r="126" spans="1:10" x14ac:dyDescent="0.25">
      <c r="A126" s="51">
        <v>2.29</v>
      </c>
      <c r="B126" s="52">
        <v>2</v>
      </c>
      <c r="C126" s="52">
        <v>1896378816</v>
      </c>
      <c r="D126" s="68">
        <v>90000000</v>
      </c>
      <c r="E126" s="52" t="s">
        <v>56</v>
      </c>
      <c r="F126" s="52">
        <v>90</v>
      </c>
      <c r="G126" s="52" t="s">
        <v>66</v>
      </c>
      <c r="H126" s="52">
        <v>4</v>
      </c>
      <c r="I126" s="54">
        <v>40326</v>
      </c>
      <c r="J126" s="202"/>
    </row>
    <row r="127" spans="1:10" x14ac:dyDescent="0.25">
      <c r="A127" s="55">
        <v>2.2799</v>
      </c>
      <c r="B127" s="56">
        <v>-1</v>
      </c>
      <c r="C127" s="56">
        <v>1893857387</v>
      </c>
      <c r="D127" s="69">
        <v>150150150</v>
      </c>
      <c r="E127" s="56" t="s">
        <v>56</v>
      </c>
      <c r="F127" s="56">
        <v>7</v>
      </c>
      <c r="G127" s="56" t="s">
        <v>65</v>
      </c>
      <c r="H127" s="56">
        <v>3</v>
      </c>
      <c r="I127" s="58">
        <v>40324</v>
      </c>
      <c r="J127" s="202"/>
    </row>
    <row r="128" spans="1:10" x14ac:dyDescent="0.25">
      <c r="A128" s="51">
        <v>2.2599</v>
      </c>
      <c r="B128" s="52">
        <v>-1</v>
      </c>
      <c r="C128" s="52">
        <v>1890650632</v>
      </c>
      <c r="D128" s="68">
        <v>2400000</v>
      </c>
      <c r="E128" s="52" t="s">
        <v>56</v>
      </c>
      <c r="F128" s="52">
        <v>90</v>
      </c>
      <c r="G128" s="52" t="s">
        <v>64</v>
      </c>
      <c r="H128" s="52">
        <v>2</v>
      </c>
      <c r="I128" s="54">
        <v>40322</v>
      </c>
      <c r="J128" s="202"/>
    </row>
    <row r="129" spans="1:10" x14ac:dyDescent="0.25">
      <c r="A129" s="55">
        <v>2.25</v>
      </c>
      <c r="B129" s="56">
        <v>-1</v>
      </c>
      <c r="C129" s="56">
        <v>1875656074</v>
      </c>
      <c r="D129" s="69">
        <v>1022000000</v>
      </c>
      <c r="E129" s="56" t="s">
        <v>56</v>
      </c>
      <c r="F129" s="56">
        <v>90</v>
      </c>
      <c r="G129" s="56" t="s">
        <v>68</v>
      </c>
      <c r="H129" s="56">
        <v>4</v>
      </c>
      <c r="I129" s="58">
        <v>40320</v>
      </c>
      <c r="J129" s="202"/>
    </row>
    <row r="130" spans="1:10" x14ac:dyDescent="0.25">
      <c r="A130" s="51">
        <v>2.25</v>
      </c>
      <c r="B130" s="52">
        <v>0</v>
      </c>
      <c r="C130" s="52">
        <v>1889623543</v>
      </c>
      <c r="D130" s="68">
        <v>50000000</v>
      </c>
      <c r="E130" s="52" t="s">
        <v>56</v>
      </c>
      <c r="F130" s="52">
        <v>90</v>
      </c>
      <c r="G130" s="52" t="s">
        <v>64</v>
      </c>
      <c r="H130" s="52">
        <v>2</v>
      </c>
      <c r="I130" s="54">
        <v>40318</v>
      </c>
      <c r="J130" s="202"/>
    </row>
    <row r="131" spans="1:10" x14ac:dyDescent="0.25">
      <c r="A131" s="55">
        <v>2.2400000000000002</v>
      </c>
      <c r="B131" s="56">
        <v>-1</v>
      </c>
      <c r="C131" s="56">
        <v>1894018815</v>
      </c>
      <c r="D131" s="69">
        <v>10000000</v>
      </c>
      <c r="E131" s="56" t="s">
        <v>56</v>
      </c>
      <c r="F131" s="56">
        <v>90</v>
      </c>
      <c r="G131" s="56" t="s">
        <v>64</v>
      </c>
      <c r="H131" s="56">
        <v>2</v>
      </c>
      <c r="I131" s="58">
        <v>40316</v>
      </c>
      <c r="J131" s="202"/>
    </row>
    <row r="132" spans="1:10" x14ac:dyDescent="0.25">
      <c r="A132" s="51">
        <v>2.2400000000000002</v>
      </c>
      <c r="B132" s="52">
        <v>-1</v>
      </c>
      <c r="C132" s="52">
        <v>1894791644</v>
      </c>
      <c r="D132" s="68">
        <v>20000000</v>
      </c>
      <c r="E132" s="52" t="s">
        <v>56</v>
      </c>
      <c r="F132" s="52">
        <v>90</v>
      </c>
      <c r="G132" s="52" t="s">
        <v>65</v>
      </c>
      <c r="H132" s="52">
        <v>3</v>
      </c>
      <c r="I132" s="54">
        <v>40314</v>
      </c>
      <c r="J132" s="202"/>
    </row>
    <row r="133" spans="1:10" x14ac:dyDescent="0.25">
      <c r="A133" s="55">
        <v>2.23</v>
      </c>
      <c r="B133" s="56">
        <v>-1</v>
      </c>
      <c r="C133" s="56">
        <v>1890759021</v>
      </c>
      <c r="D133" s="69">
        <v>6000000</v>
      </c>
      <c r="E133" s="56" t="s">
        <v>56</v>
      </c>
      <c r="F133" s="56">
        <v>90</v>
      </c>
      <c r="G133" s="56" t="s">
        <v>57</v>
      </c>
      <c r="H133" s="56">
        <v>1</v>
      </c>
      <c r="I133" s="58">
        <v>40312</v>
      </c>
      <c r="J133" s="202"/>
    </row>
    <row r="134" spans="1:10" x14ac:dyDescent="0.25">
      <c r="A134" s="51">
        <v>2.23</v>
      </c>
      <c r="B134" s="52">
        <v>-1</v>
      </c>
      <c r="C134" s="52">
        <v>1891360423</v>
      </c>
      <c r="D134" s="68">
        <v>300000000</v>
      </c>
      <c r="E134" s="52" t="s">
        <v>56</v>
      </c>
      <c r="F134" s="52">
        <v>90</v>
      </c>
      <c r="G134" s="52" t="s">
        <v>68</v>
      </c>
      <c r="H134" s="52">
        <v>4</v>
      </c>
      <c r="I134" s="54">
        <v>40310</v>
      </c>
      <c r="J134" s="202"/>
    </row>
    <row r="135" spans="1:10" x14ac:dyDescent="0.25">
      <c r="A135" s="55">
        <v>2.2200000000000002</v>
      </c>
      <c r="B135" s="56">
        <v>0</v>
      </c>
      <c r="C135" s="56">
        <v>1896292344</v>
      </c>
      <c r="D135" s="69">
        <v>25000000</v>
      </c>
      <c r="E135" s="56" t="s">
        <v>56</v>
      </c>
      <c r="F135" s="56">
        <v>90</v>
      </c>
      <c r="G135" s="56" t="s">
        <v>61</v>
      </c>
      <c r="H135" s="56">
        <v>4</v>
      </c>
      <c r="I135" s="58">
        <v>40308</v>
      </c>
      <c r="J135" s="202"/>
    </row>
    <row r="136" spans="1:10" x14ac:dyDescent="0.25">
      <c r="A136" s="51">
        <v>2.21</v>
      </c>
      <c r="B136" s="52">
        <v>0</v>
      </c>
      <c r="C136" s="52">
        <v>1894972355</v>
      </c>
      <c r="D136" s="68">
        <v>50000000</v>
      </c>
      <c r="E136" s="52" t="s">
        <v>56</v>
      </c>
      <c r="F136" s="52">
        <v>90</v>
      </c>
      <c r="G136" s="52" t="s">
        <v>64</v>
      </c>
      <c r="H136" s="52">
        <v>2</v>
      </c>
      <c r="I136" s="54">
        <v>40306</v>
      </c>
      <c r="J136" s="202"/>
    </row>
    <row r="137" spans="1:10" x14ac:dyDescent="0.25">
      <c r="A137" s="55">
        <v>2.21</v>
      </c>
      <c r="B137" s="56">
        <v>0</v>
      </c>
      <c r="C137" s="56">
        <v>1892041238</v>
      </c>
      <c r="D137" s="69">
        <v>80000000</v>
      </c>
      <c r="E137" s="56" t="s">
        <v>56</v>
      </c>
      <c r="F137" s="56">
        <v>30</v>
      </c>
      <c r="G137" s="56" t="s">
        <v>61</v>
      </c>
      <c r="H137" s="56">
        <v>4</v>
      </c>
      <c r="I137" s="58">
        <v>40304</v>
      </c>
      <c r="J137" s="202"/>
    </row>
    <row r="138" spans="1:10" x14ac:dyDescent="0.25">
      <c r="A138" s="51">
        <v>2.21</v>
      </c>
      <c r="B138" s="52">
        <v>0</v>
      </c>
      <c r="C138" s="52">
        <v>1874623056</v>
      </c>
      <c r="D138" s="68">
        <v>100000000</v>
      </c>
      <c r="E138" s="52" t="s">
        <v>56</v>
      </c>
      <c r="F138" s="52">
        <v>30</v>
      </c>
      <c r="G138" s="52" t="s">
        <v>61</v>
      </c>
      <c r="H138" s="52">
        <v>4</v>
      </c>
      <c r="I138" s="54">
        <v>40302</v>
      </c>
      <c r="J138" s="202"/>
    </row>
    <row r="139" spans="1:10" x14ac:dyDescent="0.25">
      <c r="A139" s="55">
        <v>2.21</v>
      </c>
      <c r="B139" s="56">
        <v>-1</v>
      </c>
      <c r="C139" s="56">
        <v>1896333032</v>
      </c>
      <c r="D139" s="69">
        <v>250000</v>
      </c>
      <c r="E139" s="56" t="s">
        <v>56</v>
      </c>
      <c r="F139" s="56">
        <v>7</v>
      </c>
      <c r="G139" s="56" t="s">
        <v>58</v>
      </c>
      <c r="H139" s="56">
        <v>6</v>
      </c>
      <c r="I139" s="58">
        <v>40300</v>
      </c>
      <c r="J139" s="202"/>
    </row>
    <row r="140" spans="1:10" x14ac:dyDescent="0.25">
      <c r="A140" s="51">
        <v>2.2000000000000002</v>
      </c>
      <c r="B140" s="52">
        <v>-1</v>
      </c>
      <c r="C140" s="52">
        <v>1893184522</v>
      </c>
      <c r="D140" s="68">
        <v>3000000</v>
      </c>
      <c r="E140" s="52" t="s">
        <v>56</v>
      </c>
      <c r="F140" s="52">
        <v>3</v>
      </c>
      <c r="G140" s="52" t="s">
        <v>58</v>
      </c>
      <c r="H140" s="52">
        <v>6</v>
      </c>
      <c r="I140" s="54">
        <v>40298</v>
      </c>
      <c r="J140" s="202"/>
    </row>
    <row r="141" spans="1:10" x14ac:dyDescent="0.25">
      <c r="A141" s="55">
        <v>2.2000000000000002</v>
      </c>
      <c r="B141" s="56">
        <v>-1</v>
      </c>
      <c r="C141" s="56">
        <v>1895026851</v>
      </c>
      <c r="D141" s="69">
        <v>100000000</v>
      </c>
      <c r="E141" s="56" t="s">
        <v>56</v>
      </c>
      <c r="F141" s="56">
        <v>90</v>
      </c>
      <c r="G141" s="56" t="s">
        <v>64</v>
      </c>
      <c r="H141" s="56">
        <v>2</v>
      </c>
      <c r="I141" s="58">
        <v>40296</v>
      </c>
      <c r="J141" s="202"/>
    </row>
    <row r="142" spans="1:10" x14ac:dyDescent="0.25">
      <c r="A142" s="51">
        <v>2.19</v>
      </c>
      <c r="B142" s="52">
        <v>-1</v>
      </c>
      <c r="C142" s="52">
        <v>1889282651</v>
      </c>
      <c r="D142" s="68">
        <v>10000000</v>
      </c>
      <c r="E142" s="52" t="s">
        <v>56</v>
      </c>
      <c r="F142" s="52">
        <v>30</v>
      </c>
      <c r="G142" s="52" t="s">
        <v>67</v>
      </c>
      <c r="H142" s="52">
        <v>7</v>
      </c>
      <c r="I142" s="54">
        <v>40294</v>
      </c>
      <c r="J142" s="202"/>
    </row>
    <row r="143" spans="1:10" x14ac:dyDescent="0.25">
      <c r="A143" s="55">
        <v>2.1800000000000002</v>
      </c>
      <c r="B143" s="56">
        <v>-1</v>
      </c>
      <c r="C143" s="56">
        <v>1871070131</v>
      </c>
      <c r="D143" s="69">
        <v>300000000</v>
      </c>
      <c r="E143" s="56" t="s">
        <v>56</v>
      </c>
      <c r="F143" s="56">
        <v>90</v>
      </c>
      <c r="G143" s="56" t="s">
        <v>57</v>
      </c>
      <c r="H143" s="56">
        <v>1</v>
      </c>
      <c r="I143" s="58">
        <v>40292</v>
      </c>
      <c r="J143" s="202"/>
    </row>
    <row r="144" spans="1:10" x14ac:dyDescent="0.25">
      <c r="A144" s="51">
        <v>2.1800000000000002</v>
      </c>
      <c r="B144" s="52">
        <v>1</v>
      </c>
      <c r="C144" s="52">
        <v>1892502326</v>
      </c>
      <c r="D144" s="68">
        <v>180000000</v>
      </c>
      <c r="E144" s="52" t="s">
        <v>56</v>
      </c>
      <c r="F144" s="52">
        <v>90</v>
      </c>
      <c r="G144" s="52" t="s">
        <v>67</v>
      </c>
      <c r="H144" s="52">
        <v>6</v>
      </c>
      <c r="I144" s="54">
        <v>40290</v>
      </c>
      <c r="J144" s="202"/>
    </row>
    <row r="145" spans="1:10" x14ac:dyDescent="0.25">
      <c r="A145" s="55">
        <v>2.17</v>
      </c>
      <c r="B145" s="56">
        <v>0</v>
      </c>
      <c r="C145" s="56">
        <v>1881017225</v>
      </c>
      <c r="D145" s="69">
        <v>93000000</v>
      </c>
      <c r="E145" s="56" t="s">
        <v>56</v>
      </c>
      <c r="F145" s="56">
        <v>90</v>
      </c>
      <c r="G145" s="56" t="s">
        <v>67</v>
      </c>
      <c r="H145" s="56">
        <v>5</v>
      </c>
      <c r="I145" s="58">
        <v>40288</v>
      </c>
      <c r="J145" s="202"/>
    </row>
    <row r="146" spans="1:10" x14ac:dyDescent="0.25">
      <c r="A146" s="51">
        <v>2.17</v>
      </c>
      <c r="B146" s="52">
        <v>-1</v>
      </c>
      <c r="C146" s="52">
        <v>1882440527</v>
      </c>
      <c r="D146" s="68">
        <v>10000000</v>
      </c>
      <c r="E146" s="52" t="s">
        <v>56</v>
      </c>
      <c r="F146" s="52">
        <v>90</v>
      </c>
      <c r="G146" s="52" t="s">
        <v>65</v>
      </c>
      <c r="H146" s="52">
        <v>3</v>
      </c>
      <c r="I146" s="54">
        <v>40286</v>
      </c>
      <c r="J146" s="202"/>
    </row>
    <row r="147" spans="1:10" x14ac:dyDescent="0.25">
      <c r="A147" s="55">
        <v>2.17</v>
      </c>
      <c r="B147" s="56">
        <v>0</v>
      </c>
      <c r="C147" s="56">
        <v>1896416499</v>
      </c>
      <c r="D147" s="69">
        <v>16200000</v>
      </c>
      <c r="E147" s="56" t="s">
        <v>56</v>
      </c>
      <c r="F147" s="56">
        <v>90</v>
      </c>
      <c r="G147" s="56" t="s">
        <v>67</v>
      </c>
      <c r="H147" s="56">
        <v>5</v>
      </c>
      <c r="I147" s="58">
        <v>40284</v>
      </c>
      <c r="J147" s="202"/>
    </row>
    <row r="148" spans="1:10" x14ac:dyDescent="0.25">
      <c r="A148" s="51">
        <v>2.16</v>
      </c>
      <c r="B148" s="52">
        <v>-1</v>
      </c>
      <c r="C148" s="52">
        <v>1889334508</v>
      </c>
      <c r="D148" s="68">
        <v>10000000</v>
      </c>
      <c r="E148" s="52" t="s">
        <v>56</v>
      </c>
      <c r="F148" s="52">
        <v>90</v>
      </c>
      <c r="G148" s="52" t="s">
        <v>67</v>
      </c>
      <c r="H148" s="52">
        <v>5</v>
      </c>
      <c r="I148" s="54">
        <v>40282</v>
      </c>
      <c r="J148" s="202"/>
    </row>
    <row r="149" spans="1:10" x14ac:dyDescent="0.25">
      <c r="A149" s="55">
        <v>2.14</v>
      </c>
      <c r="B149" s="56">
        <v>0</v>
      </c>
      <c r="C149" s="56">
        <v>1895864989</v>
      </c>
      <c r="D149" s="69">
        <v>2000000</v>
      </c>
      <c r="E149" s="56" t="s">
        <v>56</v>
      </c>
      <c r="F149" s="56">
        <v>90</v>
      </c>
      <c r="G149" s="56" t="s">
        <v>58</v>
      </c>
      <c r="H149" s="56">
        <v>6</v>
      </c>
      <c r="I149" s="58">
        <v>40280</v>
      </c>
      <c r="J149" s="202"/>
    </row>
    <row r="150" spans="1:10" x14ac:dyDescent="0.25">
      <c r="A150" s="51">
        <v>2.13</v>
      </c>
      <c r="B150" s="52">
        <v>-1</v>
      </c>
      <c r="C150" s="52">
        <v>1889107327</v>
      </c>
      <c r="D150" s="68">
        <v>100000000</v>
      </c>
      <c r="E150" s="52" t="s">
        <v>56</v>
      </c>
      <c r="F150" s="52">
        <v>30</v>
      </c>
      <c r="G150" s="52" t="s">
        <v>68</v>
      </c>
      <c r="H150" s="52">
        <v>5</v>
      </c>
      <c r="I150" s="54">
        <v>40278</v>
      </c>
      <c r="J150" s="202"/>
    </row>
    <row r="151" spans="1:10" x14ac:dyDescent="0.25">
      <c r="A151" s="55">
        <v>2.13</v>
      </c>
      <c r="B151" s="56">
        <v>32767</v>
      </c>
      <c r="C151" s="56">
        <v>1896389335</v>
      </c>
      <c r="D151" s="69">
        <v>100000000</v>
      </c>
      <c r="E151" s="56" t="s">
        <v>56</v>
      </c>
      <c r="F151" s="56">
        <v>90</v>
      </c>
      <c r="G151" s="56" t="s">
        <v>64</v>
      </c>
      <c r="H151" s="56">
        <v>2</v>
      </c>
      <c r="I151" s="58">
        <v>40276</v>
      </c>
      <c r="J151" s="202"/>
    </row>
    <row r="152" spans="1:10" x14ac:dyDescent="0.25">
      <c r="A152" s="51">
        <v>2.12</v>
      </c>
      <c r="B152" s="52">
        <v>0</v>
      </c>
      <c r="C152" s="52">
        <v>1883188407</v>
      </c>
      <c r="D152" s="68">
        <v>50000000</v>
      </c>
      <c r="E152" s="52" t="s">
        <v>56</v>
      </c>
      <c r="F152" s="52">
        <v>90</v>
      </c>
      <c r="G152" s="52" t="s">
        <v>61</v>
      </c>
      <c r="H152" s="52">
        <v>4</v>
      </c>
      <c r="I152" s="54">
        <v>40274</v>
      </c>
      <c r="J152" s="202"/>
    </row>
    <row r="153" spans="1:10" x14ac:dyDescent="0.25">
      <c r="A153" s="55">
        <v>2.12</v>
      </c>
      <c r="B153" s="56">
        <v>5</v>
      </c>
      <c r="C153" s="56">
        <v>1890506540</v>
      </c>
      <c r="D153" s="69">
        <v>500000000</v>
      </c>
      <c r="E153" s="56" t="s">
        <v>56</v>
      </c>
      <c r="F153" s="56">
        <v>90</v>
      </c>
      <c r="G153" s="56" t="s">
        <v>68</v>
      </c>
      <c r="H153" s="56">
        <v>4</v>
      </c>
      <c r="I153" s="58">
        <v>40272</v>
      </c>
      <c r="J153" s="202"/>
    </row>
    <row r="154" spans="1:10" x14ac:dyDescent="0.25">
      <c r="A154" s="51">
        <v>2.12</v>
      </c>
      <c r="B154" s="52">
        <v>5</v>
      </c>
      <c r="C154" s="52">
        <v>1892660100</v>
      </c>
      <c r="D154" s="68">
        <v>500000000</v>
      </c>
      <c r="E154" s="52" t="s">
        <v>56</v>
      </c>
      <c r="F154" s="52">
        <v>90</v>
      </c>
      <c r="G154" s="52" t="s">
        <v>68</v>
      </c>
      <c r="H154" s="52">
        <v>4</v>
      </c>
      <c r="I154" s="54">
        <v>40270</v>
      </c>
      <c r="J154" s="202"/>
    </row>
    <row r="155" spans="1:10" x14ac:dyDescent="0.25">
      <c r="A155" s="55">
        <v>2.12</v>
      </c>
      <c r="B155" s="56">
        <v>3</v>
      </c>
      <c r="C155" s="56">
        <v>1893153421</v>
      </c>
      <c r="D155" s="69">
        <v>20000000</v>
      </c>
      <c r="E155" s="56" t="s">
        <v>56</v>
      </c>
      <c r="F155" s="56">
        <v>30</v>
      </c>
      <c r="G155" s="56" t="s">
        <v>57</v>
      </c>
      <c r="H155" s="56">
        <v>1</v>
      </c>
      <c r="I155" s="58">
        <v>40268</v>
      </c>
      <c r="J155" s="202"/>
    </row>
    <row r="156" spans="1:10" x14ac:dyDescent="0.25">
      <c r="A156" s="51">
        <v>2.12</v>
      </c>
      <c r="B156" s="52">
        <v>5</v>
      </c>
      <c r="C156" s="52">
        <v>1894529778</v>
      </c>
      <c r="D156" s="68">
        <v>20000000</v>
      </c>
      <c r="E156" s="52" t="s">
        <v>56</v>
      </c>
      <c r="F156" s="52">
        <v>30</v>
      </c>
      <c r="G156" s="52" t="s">
        <v>69</v>
      </c>
      <c r="H156" s="52">
        <v>6</v>
      </c>
      <c r="I156" s="54">
        <v>40266</v>
      </c>
      <c r="J156" s="202"/>
    </row>
    <row r="157" spans="1:10" x14ac:dyDescent="0.25">
      <c r="A157" s="55">
        <v>2.11</v>
      </c>
      <c r="B157" s="56">
        <v>-1</v>
      </c>
      <c r="C157" s="56">
        <v>1825837684</v>
      </c>
      <c r="D157" s="69">
        <v>400000000</v>
      </c>
      <c r="E157" s="56" t="s">
        <v>56</v>
      </c>
      <c r="F157" s="56">
        <v>90</v>
      </c>
      <c r="G157" s="56" t="s">
        <v>57</v>
      </c>
      <c r="H157" s="56">
        <v>1</v>
      </c>
      <c r="I157" s="58">
        <v>40264</v>
      </c>
      <c r="J157" s="202"/>
    </row>
    <row r="158" spans="1:10" x14ac:dyDescent="0.25">
      <c r="A158" s="51">
        <v>2.11</v>
      </c>
      <c r="B158" s="52">
        <v>0</v>
      </c>
      <c r="C158" s="52">
        <v>1896374323</v>
      </c>
      <c r="D158" s="68">
        <v>10000000</v>
      </c>
      <c r="E158" s="52" t="s">
        <v>56</v>
      </c>
      <c r="F158" s="52">
        <v>90</v>
      </c>
      <c r="G158" s="52" t="s">
        <v>62</v>
      </c>
      <c r="H158" s="52">
        <v>7</v>
      </c>
      <c r="I158" s="54">
        <v>40262</v>
      </c>
      <c r="J158" s="202"/>
    </row>
    <row r="159" spans="1:10" x14ac:dyDescent="0.25">
      <c r="A159" s="55">
        <v>2.11</v>
      </c>
      <c r="B159" s="56">
        <v>40</v>
      </c>
      <c r="C159" s="56">
        <v>1896543894</v>
      </c>
      <c r="D159" s="69">
        <v>100000000</v>
      </c>
      <c r="E159" s="56" t="s">
        <v>56</v>
      </c>
      <c r="F159" s="56">
        <v>90</v>
      </c>
      <c r="G159" s="56" t="s">
        <v>68</v>
      </c>
      <c r="H159" s="56">
        <v>4</v>
      </c>
      <c r="I159" s="58">
        <v>40260</v>
      </c>
      <c r="J159" s="202"/>
    </row>
    <row r="160" spans="1:10" x14ac:dyDescent="0.25">
      <c r="A160" s="51">
        <v>2.09</v>
      </c>
      <c r="B160" s="52">
        <v>-1</v>
      </c>
      <c r="C160" s="52">
        <v>1895578345</v>
      </c>
      <c r="D160" s="68">
        <v>5000000</v>
      </c>
      <c r="E160" s="52" t="s">
        <v>56</v>
      </c>
      <c r="F160" s="52">
        <v>3</v>
      </c>
      <c r="G160" s="52" t="s">
        <v>61</v>
      </c>
      <c r="H160" s="52">
        <v>3</v>
      </c>
      <c r="I160" s="54">
        <v>40258</v>
      </c>
      <c r="J160" s="202"/>
    </row>
    <row r="161" spans="1:10" x14ac:dyDescent="0.25">
      <c r="A161" s="55">
        <v>2.09</v>
      </c>
      <c r="B161" s="56">
        <v>0</v>
      </c>
      <c r="C161" s="56">
        <v>1893333187</v>
      </c>
      <c r="D161" s="69">
        <v>2000000</v>
      </c>
      <c r="E161" s="56" t="s">
        <v>56</v>
      </c>
      <c r="F161" s="56">
        <v>90</v>
      </c>
      <c r="G161" s="56" t="s">
        <v>57</v>
      </c>
      <c r="H161" s="56">
        <v>8</v>
      </c>
      <c r="I161" s="58">
        <v>40256</v>
      </c>
      <c r="J161" s="202"/>
    </row>
    <row r="162" spans="1:10" x14ac:dyDescent="0.25">
      <c r="A162" s="51">
        <v>2.09</v>
      </c>
      <c r="B162" s="52">
        <v>2</v>
      </c>
      <c r="C162" s="52">
        <v>1879385045</v>
      </c>
      <c r="D162" s="68">
        <v>150000000</v>
      </c>
      <c r="E162" s="52" t="s">
        <v>56</v>
      </c>
      <c r="F162" s="52">
        <v>14</v>
      </c>
      <c r="G162" s="52" t="s">
        <v>58</v>
      </c>
      <c r="H162" s="52">
        <v>11</v>
      </c>
      <c r="I162" s="54">
        <v>40254</v>
      </c>
      <c r="J162" s="202"/>
    </row>
    <row r="163" spans="1:10" x14ac:dyDescent="0.25">
      <c r="A163" s="55">
        <v>2.08</v>
      </c>
      <c r="B163" s="56">
        <v>32767</v>
      </c>
      <c r="C163" s="56">
        <v>1893003154</v>
      </c>
      <c r="D163" s="69">
        <v>65000000</v>
      </c>
      <c r="E163" s="56" t="s">
        <v>56</v>
      </c>
      <c r="F163" s="56">
        <v>90</v>
      </c>
      <c r="G163" s="56" t="s">
        <v>63</v>
      </c>
      <c r="H163" s="56">
        <v>2</v>
      </c>
      <c r="I163" s="58">
        <v>40252</v>
      </c>
      <c r="J163" s="202"/>
    </row>
    <row r="164" spans="1:10" x14ac:dyDescent="0.25">
      <c r="A164" s="51">
        <v>2.0699999999999998</v>
      </c>
      <c r="B164" s="52">
        <v>-1</v>
      </c>
      <c r="C164" s="52">
        <v>1888200519</v>
      </c>
      <c r="D164" s="68">
        <v>50000000</v>
      </c>
      <c r="E164" s="52" t="s">
        <v>56</v>
      </c>
      <c r="F164" s="52">
        <v>90</v>
      </c>
      <c r="G164" s="52" t="s">
        <v>61</v>
      </c>
      <c r="H164" s="52">
        <v>3</v>
      </c>
      <c r="I164" s="54">
        <v>40250</v>
      </c>
      <c r="J164" s="202"/>
    </row>
    <row r="165" spans="1:10" x14ac:dyDescent="0.25">
      <c r="A165" s="55">
        <v>2.0699999999999998</v>
      </c>
      <c r="B165" s="56">
        <v>5</v>
      </c>
      <c r="C165" s="56">
        <v>1893781508</v>
      </c>
      <c r="D165" s="69">
        <v>1014369479</v>
      </c>
      <c r="E165" s="56" t="s">
        <v>56</v>
      </c>
      <c r="F165" s="56">
        <v>30</v>
      </c>
      <c r="G165" s="56" t="s">
        <v>59</v>
      </c>
      <c r="H165" s="56">
        <v>3</v>
      </c>
      <c r="I165" s="58">
        <v>40248</v>
      </c>
      <c r="J165" s="202"/>
    </row>
    <row r="166" spans="1:10" x14ac:dyDescent="0.25">
      <c r="A166" s="51">
        <v>2.0699999999999998</v>
      </c>
      <c r="B166" s="52">
        <v>32767</v>
      </c>
      <c r="C166" s="52">
        <v>1892513942</v>
      </c>
      <c r="D166" s="68">
        <v>75000000</v>
      </c>
      <c r="E166" s="52" t="s">
        <v>56</v>
      </c>
      <c r="F166" s="52">
        <v>90</v>
      </c>
      <c r="G166" s="52" t="s">
        <v>68</v>
      </c>
      <c r="H166" s="52">
        <v>4</v>
      </c>
      <c r="I166" s="54">
        <v>40246</v>
      </c>
      <c r="J166" s="202"/>
    </row>
    <row r="167" spans="1:10" x14ac:dyDescent="0.25">
      <c r="A167" s="55">
        <v>2.0699999999999998</v>
      </c>
      <c r="B167" s="56">
        <v>32767</v>
      </c>
      <c r="C167" s="56">
        <v>1893664613</v>
      </c>
      <c r="D167" s="69">
        <v>65000000</v>
      </c>
      <c r="E167" s="56" t="s">
        <v>56</v>
      </c>
      <c r="F167" s="56">
        <v>90</v>
      </c>
      <c r="G167" s="56" t="s">
        <v>63</v>
      </c>
      <c r="H167" s="56">
        <v>2</v>
      </c>
      <c r="I167" s="58">
        <v>40244</v>
      </c>
      <c r="J167" s="202"/>
    </row>
    <row r="168" spans="1:10" x14ac:dyDescent="0.25">
      <c r="A168" s="51">
        <v>2.06</v>
      </c>
      <c r="B168" s="52">
        <v>0</v>
      </c>
      <c r="C168" s="52">
        <v>1870882402</v>
      </c>
      <c r="D168" s="68">
        <v>50000000</v>
      </c>
      <c r="E168" s="52" t="s">
        <v>56</v>
      </c>
      <c r="F168" s="52">
        <v>90</v>
      </c>
      <c r="G168" s="52" t="s">
        <v>64</v>
      </c>
      <c r="H168" s="52">
        <v>2</v>
      </c>
      <c r="I168" s="54">
        <v>40242</v>
      </c>
      <c r="J168" s="202"/>
    </row>
    <row r="169" spans="1:10" x14ac:dyDescent="0.25">
      <c r="A169" s="55">
        <v>2.06</v>
      </c>
      <c r="B169" s="56">
        <v>1</v>
      </c>
      <c r="C169" s="56">
        <v>1890776245</v>
      </c>
      <c r="D169" s="69">
        <v>1500000</v>
      </c>
      <c r="E169" s="56" t="s">
        <v>56</v>
      </c>
      <c r="F169" s="56">
        <v>90</v>
      </c>
      <c r="G169" s="56" t="s">
        <v>61</v>
      </c>
      <c r="H169" s="56">
        <v>3</v>
      </c>
      <c r="I169" s="58">
        <v>40240</v>
      </c>
      <c r="J169" s="202"/>
    </row>
    <row r="170" spans="1:10" x14ac:dyDescent="0.25">
      <c r="A170" s="51">
        <v>2.06</v>
      </c>
      <c r="B170" s="52">
        <v>2</v>
      </c>
      <c r="C170" s="52">
        <v>1890879393</v>
      </c>
      <c r="D170" s="68">
        <v>4700000</v>
      </c>
      <c r="E170" s="52" t="s">
        <v>56</v>
      </c>
      <c r="F170" s="52">
        <v>90</v>
      </c>
      <c r="G170" s="52" t="s">
        <v>61</v>
      </c>
      <c r="H170" s="52">
        <v>3</v>
      </c>
      <c r="I170" s="54">
        <v>40238</v>
      </c>
      <c r="J170" s="202"/>
    </row>
    <row r="171" spans="1:10" x14ac:dyDescent="0.25">
      <c r="A171" s="55">
        <v>2.06</v>
      </c>
      <c r="B171" s="56">
        <v>0</v>
      </c>
      <c r="C171" s="56">
        <v>1892072870</v>
      </c>
      <c r="D171" s="69">
        <v>210000000</v>
      </c>
      <c r="E171" s="56" t="s">
        <v>56</v>
      </c>
      <c r="F171" s="56">
        <v>30</v>
      </c>
      <c r="G171" s="56" t="s">
        <v>62</v>
      </c>
      <c r="H171" s="56">
        <v>3</v>
      </c>
      <c r="I171" s="58">
        <v>40236</v>
      </c>
      <c r="J171" s="202"/>
    </row>
    <row r="172" spans="1:10" x14ac:dyDescent="0.25">
      <c r="A172" s="51">
        <v>2.06</v>
      </c>
      <c r="B172" s="52">
        <v>-1</v>
      </c>
      <c r="C172" s="52">
        <v>1892183258</v>
      </c>
      <c r="D172" s="68">
        <v>1000000</v>
      </c>
      <c r="E172" s="52" t="s">
        <v>56</v>
      </c>
      <c r="F172" s="52">
        <v>7</v>
      </c>
      <c r="G172" s="52" t="s">
        <v>57</v>
      </c>
      <c r="H172" s="52">
        <v>7</v>
      </c>
      <c r="I172" s="54">
        <v>40234</v>
      </c>
      <c r="J172" s="202"/>
    </row>
    <row r="173" spans="1:10" x14ac:dyDescent="0.25">
      <c r="A173" s="55">
        <v>2.0499999999999998</v>
      </c>
      <c r="B173" s="56">
        <v>32767</v>
      </c>
      <c r="C173" s="56">
        <v>1895421261</v>
      </c>
      <c r="D173" s="69">
        <v>8000000</v>
      </c>
      <c r="E173" s="56" t="s">
        <v>56</v>
      </c>
      <c r="F173" s="56">
        <v>90</v>
      </c>
      <c r="G173" s="56" t="s">
        <v>65</v>
      </c>
      <c r="H173" s="56">
        <v>5</v>
      </c>
      <c r="I173" s="58">
        <v>40232</v>
      </c>
      <c r="J173" s="202"/>
    </row>
    <row r="174" spans="1:10" x14ac:dyDescent="0.25">
      <c r="A174" s="51">
        <v>2.04</v>
      </c>
      <c r="B174" s="52">
        <v>0</v>
      </c>
      <c r="C174" s="52">
        <v>1882369620</v>
      </c>
      <c r="D174" s="68">
        <v>50000000</v>
      </c>
      <c r="E174" s="52" t="s">
        <v>56</v>
      </c>
      <c r="F174" s="52">
        <v>90</v>
      </c>
      <c r="G174" s="52" t="s">
        <v>61</v>
      </c>
      <c r="H174" s="52">
        <v>4</v>
      </c>
      <c r="I174" s="54">
        <v>40230</v>
      </c>
      <c r="J174" s="202"/>
    </row>
    <row r="175" spans="1:10" x14ac:dyDescent="0.25">
      <c r="A175" s="55">
        <v>2.04</v>
      </c>
      <c r="B175" s="56">
        <v>5</v>
      </c>
      <c r="C175" s="56">
        <v>1888990912</v>
      </c>
      <c r="D175" s="69">
        <v>50000000</v>
      </c>
      <c r="E175" s="56" t="s">
        <v>56</v>
      </c>
      <c r="F175" s="56">
        <v>90</v>
      </c>
      <c r="G175" s="56" t="s">
        <v>63</v>
      </c>
      <c r="H175" s="56">
        <v>4</v>
      </c>
      <c r="I175" s="58">
        <v>40228</v>
      </c>
      <c r="J175" s="202"/>
    </row>
    <row r="176" spans="1:10" x14ac:dyDescent="0.25">
      <c r="A176" s="51">
        <v>2.0299</v>
      </c>
      <c r="B176" s="52">
        <v>-1</v>
      </c>
      <c r="C176" s="52">
        <v>1865274374</v>
      </c>
      <c r="D176" s="68">
        <v>20000000</v>
      </c>
      <c r="E176" s="52" t="s">
        <v>56</v>
      </c>
      <c r="F176" s="52">
        <v>90</v>
      </c>
      <c r="G176" s="52" t="s">
        <v>64</v>
      </c>
      <c r="H176" s="52">
        <v>2</v>
      </c>
      <c r="I176" s="54">
        <v>40226</v>
      </c>
      <c r="J176" s="202"/>
    </row>
    <row r="177" spans="1:10" x14ac:dyDescent="0.25">
      <c r="A177" s="55">
        <v>2.0299</v>
      </c>
      <c r="B177" s="56">
        <v>0</v>
      </c>
      <c r="C177" s="56">
        <v>1873013032</v>
      </c>
      <c r="D177" s="69">
        <v>400000000</v>
      </c>
      <c r="E177" s="56" t="s">
        <v>56</v>
      </c>
      <c r="F177" s="56">
        <v>14</v>
      </c>
      <c r="G177" s="56" t="s">
        <v>64</v>
      </c>
      <c r="H177" s="56">
        <v>2</v>
      </c>
      <c r="I177" s="58">
        <v>40224</v>
      </c>
      <c r="J177" s="202"/>
    </row>
    <row r="178" spans="1:10" x14ac:dyDescent="0.25">
      <c r="A178" s="51">
        <v>2.02</v>
      </c>
      <c r="B178" s="52">
        <v>-1</v>
      </c>
      <c r="C178" s="52">
        <v>1876668202</v>
      </c>
      <c r="D178" s="68">
        <v>50000000</v>
      </c>
      <c r="E178" s="52" t="s">
        <v>56</v>
      </c>
      <c r="F178" s="52">
        <v>90</v>
      </c>
      <c r="G178" s="52" t="s">
        <v>57</v>
      </c>
      <c r="H178" s="52">
        <v>7</v>
      </c>
      <c r="I178" s="54">
        <v>40222</v>
      </c>
      <c r="J178" s="202"/>
    </row>
    <row r="179" spans="1:10" x14ac:dyDescent="0.25">
      <c r="A179" s="55">
        <v>2.0099</v>
      </c>
      <c r="B179" s="56">
        <v>-1</v>
      </c>
      <c r="C179" s="56">
        <v>1891798840</v>
      </c>
      <c r="D179" s="69">
        <v>9341299</v>
      </c>
      <c r="E179" s="56" t="s">
        <v>56</v>
      </c>
      <c r="F179" s="56">
        <v>90</v>
      </c>
      <c r="G179" s="56" t="s">
        <v>60</v>
      </c>
      <c r="H179" s="56">
        <v>4</v>
      </c>
      <c r="I179" s="58">
        <v>40220</v>
      </c>
      <c r="J179" s="202"/>
    </row>
    <row r="180" spans="1:10" x14ac:dyDescent="0.25">
      <c r="A180" s="51">
        <v>2.0099</v>
      </c>
      <c r="B180" s="52">
        <v>3</v>
      </c>
      <c r="C180" s="52">
        <v>1892162949</v>
      </c>
      <c r="D180" s="68">
        <v>100000000</v>
      </c>
      <c r="E180" s="52" t="s">
        <v>56</v>
      </c>
      <c r="F180" s="52">
        <v>90</v>
      </c>
      <c r="G180" s="52" t="s">
        <v>63</v>
      </c>
      <c r="H180" s="52">
        <v>2</v>
      </c>
      <c r="I180" s="54">
        <v>40218</v>
      </c>
      <c r="J180" s="202"/>
    </row>
    <row r="181" spans="1:10" x14ac:dyDescent="0.25">
      <c r="A181" s="55">
        <v>2</v>
      </c>
      <c r="B181" s="56">
        <v>2</v>
      </c>
      <c r="C181" s="56">
        <v>1881452462</v>
      </c>
      <c r="D181" s="69">
        <v>100000000</v>
      </c>
      <c r="E181" s="56" t="s">
        <v>56</v>
      </c>
      <c r="F181" s="56">
        <v>90</v>
      </c>
      <c r="G181" s="56" t="s">
        <v>69</v>
      </c>
      <c r="H181" s="56">
        <v>6</v>
      </c>
      <c r="I181" s="58">
        <v>40216</v>
      </c>
      <c r="J181" s="202"/>
    </row>
    <row r="182" spans="1:10" x14ac:dyDescent="0.25">
      <c r="A182" s="51">
        <v>2</v>
      </c>
      <c r="B182" s="52">
        <v>0</v>
      </c>
      <c r="C182" s="52">
        <v>1883919217</v>
      </c>
      <c r="D182" s="68">
        <v>1000000</v>
      </c>
      <c r="E182" s="52" t="s">
        <v>56</v>
      </c>
      <c r="F182" s="52">
        <v>90</v>
      </c>
      <c r="G182" s="52" t="s">
        <v>64</v>
      </c>
      <c r="H182" s="52">
        <v>2</v>
      </c>
      <c r="I182" s="54">
        <v>40214</v>
      </c>
      <c r="J182" s="202"/>
    </row>
    <row r="183" spans="1:10" x14ac:dyDescent="0.25">
      <c r="A183" s="55">
        <v>2</v>
      </c>
      <c r="B183" s="56">
        <v>-1</v>
      </c>
      <c r="C183" s="56">
        <v>1831518518</v>
      </c>
      <c r="D183" s="69">
        <v>40000000</v>
      </c>
      <c r="E183" s="56" t="s">
        <v>56</v>
      </c>
      <c r="F183" s="56">
        <v>90</v>
      </c>
      <c r="G183" s="56" t="s">
        <v>61</v>
      </c>
      <c r="H183" s="56">
        <v>3</v>
      </c>
      <c r="I183" s="58">
        <v>40212</v>
      </c>
      <c r="J183" s="202"/>
    </row>
    <row r="184" spans="1:10" x14ac:dyDescent="0.25">
      <c r="A184" s="51">
        <v>1.99</v>
      </c>
      <c r="B184" s="52">
        <v>-1</v>
      </c>
      <c r="C184" s="52">
        <v>1868316880</v>
      </c>
      <c r="D184" s="68">
        <v>400000000</v>
      </c>
      <c r="E184" s="52" t="s">
        <v>56</v>
      </c>
      <c r="F184" s="52">
        <v>90</v>
      </c>
      <c r="G184" s="52" t="s">
        <v>68</v>
      </c>
      <c r="H184" s="52">
        <v>4</v>
      </c>
      <c r="I184" s="54">
        <v>40210</v>
      </c>
      <c r="J184" s="202"/>
    </row>
    <row r="185" spans="1:10" x14ac:dyDescent="0.25">
      <c r="A185" s="55">
        <v>1.99</v>
      </c>
      <c r="B185" s="56">
        <v>-1</v>
      </c>
      <c r="C185" s="56">
        <v>1878800043</v>
      </c>
      <c r="D185" s="69">
        <v>30000000</v>
      </c>
      <c r="E185" s="56" t="s">
        <v>56</v>
      </c>
      <c r="F185" s="56">
        <v>90</v>
      </c>
      <c r="G185" s="56" t="s">
        <v>61</v>
      </c>
      <c r="H185" s="56">
        <v>3</v>
      </c>
      <c r="I185" s="58">
        <v>40208</v>
      </c>
      <c r="J185" s="202"/>
    </row>
    <row r="186" spans="1:10" x14ac:dyDescent="0.25">
      <c r="A186" s="51">
        <v>1.98</v>
      </c>
      <c r="B186" s="52">
        <v>-1</v>
      </c>
      <c r="C186" s="52">
        <v>1825177155</v>
      </c>
      <c r="D186" s="68">
        <v>200000000</v>
      </c>
      <c r="E186" s="52" t="s">
        <v>56</v>
      </c>
      <c r="F186" s="52">
        <v>90</v>
      </c>
      <c r="G186" s="52" t="s">
        <v>68</v>
      </c>
      <c r="H186" s="52">
        <v>4</v>
      </c>
      <c r="I186" s="54">
        <v>40206</v>
      </c>
      <c r="J186" s="202"/>
    </row>
    <row r="187" spans="1:10" x14ac:dyDescent="0.25">
      <c r="A187" s="55">
        <v>1.98</v>
      </c>
      <c r="B187" s="56">
        <v>5</v>
      </c>
      <c r="C187" s="56">
        <v>1878238161</v>
      </c>
      <c r="D187" s="69">
        <v>400000000</v>
      </c>
      <c r="E187" s="56" t="s">
        <v>56</v>
      </c>
      <c r="F187" s="56">
        <v>90</v>
      </c>
      <c r="G187" s="56" t="s">
        <v>61</v>
      </c>
      <c r="H187" s="56">
        <v>2</v>
      </c>
      <c r="I187" s="58">
        <v>40204</v>
      </c>
      <c r="J187" s="202"/>
    </row>
    <row r="188" spans="1:10" x14ac:dyDescent="0.25">
      <c r="A188" s="51">
        <v>1.98</v>
      </c>
      <c r="B188" s="52">
        <v>-1</v>
      </c>
      <c r="C188" s="52">
        <v>1889287160</v>
      </c>
      <c r="D188" s="68">
        <v>1000000</v>
      </c>
      <c r="E188" s="52" t="s">
        <v>56</v>
      </c>
      <c r="F188" s="52">
        <v>30</v>
      </c>
      <c r="G188" s="52" t="s">
        <v>61</v>
      </c>
      <c r="H188" s="52">
        <v>2</v>
      </c>
      <c r="I188" s="54">
        <v>40202</v>
      </c>
      <c r="J188" s="202"/>
    </row>
    <row r="189" spans="1:10" x14ac:dyDescent="0.25">
      <c r="A189" s="55">
        <v>1.97</v>
      </c>
      <c r="B189" s="56">
        <v>-1</v>
      </c>
      <c r="C189" s="56">
        <v>1805288786</v>
      </c>
      <c r="D189" s="69">
        <v>20000000</v>
      </c>
      <c r="E189" s="56" t="s">
        <v>56</v>
      </c>
      <c r="F189" s="56">
        <v>90</v>
      </c>
      <c r="G189" s="56" t="s">
        <v>68</v>
      </c>
      <c r="H189" s="56">
        <v>4</v>
      </c>
      <c r="I189" s="58">
        <v>40200</v>
      </c>
      <c r="J189" s="202"/>
    </row>
    <row r="190" spans="1:10" x14ac:dyDescent="0.25">
      <c r="A190" s="51">
        <v>1.9</v>
      </c>
      <c r="B190" s="52">
        <v>1</v>
      </c>
      <c r="C190" s="52">
        <v>1870083402</v>
      </c>
      <c r="D190" s="68">
        <v>110000000</v>
      </c>
      <c r="E190" s="52" t="s">
        <v>56</v>
      </c>
      <c r="F190" s="52">
        <v>90</v>
      </c>
      <c r="G190" s="52" t="s">
        <v>61</v>
      </c>
      <c r="H190" s="52">
        <v>3</v>
      </c>
      <c r="I190" s="54">
        <v>40198</v>
      </c>
      <c r="J190" s="202"/>
    </row>
    <row r="191" spans="1:10" x14ac:dyDescent="0.25">
      <c r="A191" s="55">
        <v>1.9</v>
      </c>
      <c r="B191" s="56">
        <v>-1</v>
      </c>
      <c r="C191" s="56">
        <v>1872351643</v>
      </c>
      <c r="D191" s="69">
        <v>100000000</v>
      </c>
      <c r="E191" s="56" t="s">
        <v>56</v>
      </c>
      <c r="F191" s="56">
        <v>90</v>
      </c>
      <c r="G191" s="56" t="s">
        <v>60</v>
      </c>
      <c r="H191" s="56">
        <v>3</v>
      </c>
      <c r="I191" s="58">
        <v>40196</v>
      </c>
      <c r="J191" s="202"/>
    </row>
    <row r="192" spans="1:10" x14ac:dyDescent="0.25">
      <c r="A192" s="51">
        <v>1.9</v>
      </c>
      <c r="B192" s="52">
        <v>-1</v>
      </c>
      <c r="C192" s="52">
        <v>1880860557</v>
      </c>
      <c r="D192" s="68">
        <v>10000000</v>
      </c>
      <c r="E192" s="52" t="s">
        <v>56</v>
      </c>
      <c r="F192" s="52">
        <v>30</v>
      </c>
      <c r="G192" s="52" t="s">
        <v>66</v>
      </c>
      <c r="H192" s="52">
        <v>4</v>
      </c>
      <c r="I192" s="54">
        <v>40194</v>
      </c>
      <c r="J192" s="202"/>
    </row>
    <row r="193" spans="1:10" x14ac:dyDescent="0.25">
      <c r="A193" s="55">
        <v>1.86</v>
      </c>
      <c r="B193" s="56">
        <v>20</v>
      </c>
      <c r="C193" s="56">
        <v>1875974667</v>
      </c>
      <c r="D193" s="69">
        <v>500000000</v>
      </c>
      <c r="E193" s="56" t="s">
        <v>56</v>
      </c>
      <c r="F193" s="56">
        <v>90</v>
      </c>
      <c r="G193" s="56" t="s">
        <v>64</v>
      </c>
      <c r="H193" s="56">
        <v>2</v>
      </c>
      <c r="I193" s="58">
        <v>40192</v>
      </c>
      <c r="J193" s="202"/>
    </row>
    <row r="194" spans="1:10" x14ac:dyDescent="0.25">
      <c r="A194" s="51">
        <v>1.79</v>
      </c>
      <c r="B194" s="52">
        <v>-1</v>
      </c>
      <c r="C194" s="52">
        <v>1790159889</v>
      </c>
      <c r="D194" s="68">
        <v>60000000</v>
      </c>
      <c r="E194" s="52" t="s">
        <v>56</v>
      </c>
      <c r="F194" s="52">
        <v>90</v>
      </c>
      <c r="G194" s="52" t="s">
        <v>63</v>
      </c>
      <c r="H194" s="52">
        <v>5</v>
      </c>
      <c r="I194" s="54">
        <v>40190</v>
      </c>
      <c r="J194" s="202"/>
    </row>
    <row r="195" spans="1:10" x14ac:dyDescent="0.25">
      <c r="A195" s="55">
        <v>1.72</v>
      </c>
      <c r="B195" s="56">
        <v>5</v>
      </c>
      <c r="C195" s="56">
        <v>1856580532</v>
      </c>
      <c r="D195" s="69">
        <v>200000000</v>
      </c>
      <c r="E195" s="56" t="s">
        <v>56</v>
      </c>
      <c r="F195" s="56">
        <v>90</v>
      </c>
      <c r="G195" s="56" t="s">
        <v>69</v>
      </c>
      <c r="H195" s="56">
        <v>6</v>
      </c>
      <c r="I195" s="58">
        <v>40188</v>
      </c>
      <c r="J195" s="202"/>
    </row>
    <row r="196" spans="1:10" x14ac:dyDescent="0.25">
      <c r="A196" s="51">
        <v>1.72</v>
      </c>
      <c r="B196" s="52">
        <v>3</v>
      </c>
      <c r="C196" s="52">
        <v>1866285351</v>
      </c>
      <c r="D196" s="68">
        <v>50000000</v>
      </c>
      <c r="E196" s="52" t="s">
        <v>56</v>
      </c>
      <c r="F196" s="52">
        <v>90</v>
      </c>
      <c r="G196" s="52" t="s">
        <v>63</v>
      </c>
      <c r="H196" s="52">
        <v>2</v>
      </c>
      <c r="I196" s="54">
        <v>40186</v>
      </c>
      <c r="J196" s="202"/>
    </row>
    <row r="197" spans="1:10" x14ac:dyDescent="0.25">
      <c r="A197" s="55">
        <v>1.7</v>
      </c>
      <c r="B197" s="56">
        <v>-1</v>
      </c>
      <c r="C197" s="56">
        <v>1823822432</v>
      </c>
      <c r="D197" s="69">
        <v>4000000</v>
      </c>
      <c r="E197" s="56" t="s">
        <v>56</v>
      </c>
      <c r="F197" s="56">
        <v>90</v>
      </c>
      <c r="G197" s="56" t="s">
        <v>65</v>
      </c>
      <c r="H197" s="56">
        <v>3</v>
      </c>
      <c r="I197" s="58">
        <v>40184</v>
      </c>
      <c r="J197" s="202"/>
    </row>
    <row r="198" spans="1:10" x14ac:dyDescent="0.25">
      <c r="A198" s="51">
        <v>1.7</v>
      </c>
      <c r="B198" s="52">
        <v>-1</v>
      </c>
      <c r="C198" s="52">
        <v>1896986477</v>
      </c>
      <c r="D198" s="68">
        <v>10000000</v>
      </c>
      <c r="E198" s="52" t="s">
        <v>56</v>
      </c>
      <c r="F198" s="52">
        <v>7</v>
      </c>
      <c r="G198" s="52" t="s">
        <v>62</v>
      </c>
      <c r="H198" s="52">
        <v>2</v>
      </c>
      <c r="I198" s="54">
        <v>40182</v>
      </c>
      <c r="J198" s="202"/>
    </row>
    <row r="199" spans="1:10" x14ac:dyDescent="0.25">
      <c r="A199" s="55">
        <v>1.69</v>
      </c>
      <c r="B199" s="56">
        <v>4</v>
      </c>
      <c r="C199" s="56">
        <v>1857402900</v>
      </c>
      <c r="D199" s="69">
        <v>20000000</v>
      </c>
      <c r="E199" s="56" t="s">
        <v>56</v>
      </c>
      <c r="F199" s="56">
        <v>90</v>
      </c>
      <c r="G199" s="56" t="s">
        <v>67</v>
      </c>
      <c r="H199" s="56">
        <v>6</v>
      </c>
      <c r="I199" s="58">
        <v>40180</v>
      </c>
      <c r="J199" s="202"/>
    </row>
    <row r="200" spans="1:10" x14ac:dyDescent="0.25">
      <c r="A200" s="51">
        <v>1.64</v>
      </c>
      <c r="B200" s="52">
        <v>2</v>
      </c>
      <c r="C200" s="52">
        <v>1875691547</v>
      </c>
      <c r="D200" s="68">
        <v>100000000</v>
      </c>
      <c r="E200" s="52" t="s">
        <v>56</v>
      </c>
      <c r="F200" s="52">
        <v>90</v>
      </c>
      <c r="G200" s="52" t="s">
        <v>63</v>
      </c>
      <c r="H200" s="52">
        <v>9</v>
      </c>
      <c r="I200" s="54">
        <v>40178</v>
      </c>
      <c r="J200" s="202"/>
    </row>
    <row r="201" spans="1:10" x14ac:dyDescent="0.25">
      <c r="A201" s="55">
        <v>1.54</v>
      </c>
      <c r="B201" s="56">
        <v>32767</v>
      </c>
      <c r="C201" s="56">
        <v>1884589882</v>
      </c>
      <c r="D201" s="69">
        <v>10000000</v>
      </c>
      <c r="E201" s="56" t="s">
        <v>56</v>
      </c>
      <c r="F201" s="56">
        <v>30</v>
      </c>
      <c r="G201" s="56" t="s">
        <v>61</v>
      </c>
      <c r="H201" s="56">
        <v>3</v>
      </c>
      <c r="I201" s="58">
        <v>40176</v>
      </c>
      <c r="J201" s="202"/>
    </row>
    <row r="202" spans="1:10" x14ac:dyDescent="0.25">
      <c r="A202" s="51">
        <v>1.53</v>
      </c>
      <c r="B202" s="52">
        <v>32767</v>
      </c>
      <c r="C202" s="52">
        <v>1868004571</v>
      </c>
      <c r="D202" s="68">
        <v>500000000</v>
      </c>
      <c r="E202" s="52" t="s">
        <v>56</v>
      </c>
      <c r="F202" s="52">
        <v>90</v>
      </c>
      <c r="G202" s="52" t="s">
        <v>57</v>
      </c>
      <c r="H202" s="52">
        <v>1</v>
      </c>
      <c r="I202" s="54">
        <v>40174</v>
      </c>
      <c r="J202" s="202"/>
    </row>
    <row r="203" spans="1:10" x14ac:dyDescent="0.25">
      <c r="A203" s="55">
        <v>1.52</v>
      </c>
      <c r="B203" s="56">
        <v>32767</v>
      </c>
      <c r="C203" s="56">
        <v>1744626360</v>
      </c>
      <c r="D203" s="69">
        <v>400000000</v>
      </c>
      <c r="E203" s="56" t="s">
        <v>56</v>
      </c>
      <c r="F203" s="56">
        <v>90</v>
      </c>
      <c r="G203" s="56" t="s">
        <v>64</v>
      </c>
      <c r="H203" s="56">
        <v>2</v>
      </c>
      <c r="I203" s="58">
        <v>40172</v>
      </c>
      <c r="J203" s="202"/>
    </row>
    <row r="204" spans="1:10" x14ac:dyDescent="0.25">
      <c r="A204" s="51">
        <v>1.5</v>
      </c>
      <c r="B204" s="52">
        <v>20</v>
      </c>
      <c r="C204" s="52">
        <v>1826530229</v>
      </c>
      <c r="D204" s="68">
        <v>100000</v>
      </c>
      <c r="E204" s="52" t="s">
        <v>56</v>
      </c>
      <c r="F204" s="52">
        <v>90</v>
      </c>
      <c r="G204" s="52" t="s">
        <v>61</v>
      </c>
      <c r="H204" s="52">
        <v>3</v>
      </c>
      <c r="I204" s="54">
        <v>40170</v>
      </c>
      <c r="J204" s="202"/>
    </row>
    <row r="205" spans="1:10" x14ac:dyDescent="0.25">
      <c r="A205" s="55">
        <v>1.5</v>
      </c>
      <c r="B205" s="56">
        <v>-1</v>
      </c>
      <c r="C205" s="56">
        <v>1890506520</v>
      </c>
      <c r="D205" s="69">
        <v>1000000</v>
      </c>
      <c r="E205" s="56" t="s">
        <v>56</v>
      </c>
      <c r="F205" s="56">
        <v>90</v>
      </c>
      <c r="G205" s="56" t="s">
        <v>68</v>
      </c>
      <c r="H205" s="56">
        <v>6</v>
      </c>
      <c r="I205" s="58">
        <v>40168</v>
      </c>
      <c r="J205" s="202"/>
    </row>
    <row r="206" spans="1:10" x14ac:dyDescent="0.25">
      <c r="A206" s="51">
        <v>1</v>
      </c>
      <c r="B206" s="52">
        <v>1</v>
      </c>
      <c r="C206" s="52">
        <v>1867930670</v>
      </c>
      <c r="D206" s="68">
        <v>20000000</v>
      </c>
      <c r="E206" s="52" t="s">
        <v>56</v>
      </c>
      <c r="F206" s="52">
        <v>90</v>
      </c>
      <c r="G206" s="52" t="s">
        <v>63</v>
      </c>
      <c r="H206" s="52">
        <v>2</v>
      </c>
      <c r="I206" s="54">
        <v>40166</v>
      </c>
      <c r="J206" s="202"/>
    </row>
    <row r="207" spans="1:10" x14ac:dyDescent="0.25">
      <c r="A207" s="59">
        <v>0.08</v>
      </c>
      <c r="B207" s="60">
        <v>20</v>
      </c>
      <c r="C207" s="60">
        <v>1709322587</v>
      </c>
      <c r="D207" s="70">
        <v>200000000</v>
      </c>
      <c r="E207" s="60" t="s">
        <v>56</v>
      </c>
      <c r="F207" s="60">
        <v>90</v>
      </c>
      <c r="G207" s="60" t="s">
        <v>63</v>
      </c>
      <c r="H207" s="60">
        <v>2</v>
      </c>
      <c r="I207" s="199">
        <v>40164</v>
      </c>
      <c r="J207" s="202"/>
    </row>
  </sheetData>
  <autoFilter ref="A1:I207"/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Y37"/>
  <sheetViews>
    <sheetView workbookViewId="0"/>
  </sheetViews>
  <sheetFormatPr defaultRowHeight="15" x14ac:dyDescent="0.25"/>
  <cols>
    <col min="1" max="1" width="13.42578125" customWidth="1"/>
    <col min="2" max="2" width="9.28515625" customWidth="1"/>
    <col min="3" max="3" width="7.7109375" customWidth="1"/>
    <col min="4" max="4" width="8" customWidth="1"/>
    <col min="5" max="8" width="10.7109375" bestFit="1" customWidth="1"/>
    <col min="9" max="9" width="10.7109375" customWidth="1"/>
    <col min="10" max="10" width="10.7109375" bestFit="1" customWidth="1"/>
    <col min="11" max="13" width="10.7109375" customWidth="1"/>
    <col min="14" max="14" width="12" customWidth="1"/>
    <col min="15" max="15" width="10.85546875" customWidth="1"/>
    <col min="16" max="16" width="9.42578125" bestFit="1" customWidth="1"/>
    <col min="17" max="17" width="4.28515625" customWidth="1"/>
    <col min="18" max="18" width="9.85546875" bestFit="1" customWidth="1"/>
    <col min="19" max="20" width="11.42578125" customWidth="1"/>
    <col min="21" max="21" width="11.28515625" bestFit="1" customWidth="1"/>
    <col min="22" max="22" width="13.140625" customWidth="1"/>
    <col min="23" max="23" width="16.28515625" bestFit="1" customWidth="1"/>
    <col min="24" max="24" width="18.7109375" customWidth="1"/>
    <col min="25" max="25" width="16.140625" bestFit="1" customWidth="1"/>
    <col min="26" max="26" width="18.7109375" bestFit="1" customWidth="1"/>
    <col min="27" max="27" width="21.140625" bestFit="1" customWidth="1"/>
    <col min="28" max="28" width="23.7109375" bestFit="1" customWidth="1"/>
    <col min="29" max="34" width="10.7109375" bestFit="1" customWidth="1"/>
    <col min="35" max="35" width="10.7109375" customWidth="1"/>
    <col min="36" max="36" width="10.7109375" bestFit="1" customWidth="1"/>
    <col min="37" max="42" width="9.7109375" bestFit="1" customWidth="1"/>
    <col min="43" max="48" width="10.7109375" bestFit="1" customWidth="1"/>
    <col min="49" max="49" width="11.28515625" bestFit="1" customWidth="1"/>
  </cols>
  <sheetData>
    <row r="1" spans="1:21" ht="21" x14ac:dyDescent="0.35">
      <c r="A1" s="215" t="s">
        <v>386</v>
      </c>
      <c r="U1" s="50"/>
    </row>
    <row r="2" spans="1:21" ht="15" customHeight="1" x14ac:dyDescent="0.35">
      <c r="A2" s="215"/>
      <c r="N2" s="120" t="s">
        <v>413</v>
      </c>
      <c r="U2" s="50"/>
    </row>
    <row r="3" spans="1:21" ht="15.75" x14ac:dyDescent="0.25">
      <c r="A3" s="197" t="s">
        <v>412</v>
      </c>
      <c r="N3" s="220"/>
    </row>
    <row r="4" spans="1:21" ht="15.75" thickBot="1" x14ac:dyDescent="0.3">
      <c r="N4" s="207" t="s">
        <v>387</v>
      </c>
      <c r="O4" s="207" t="s">
        <v>32</v>
      </c>
      <c r="P4" s="208" t="s">
        <v>268</v>
      </c>
      <c r="S4" s="264" t="s">
        <v>396</v>
      </c>
      <c r="T4" s="264"/>
    </row>
    <row r="5" spans="1:21" ht="16.5" thickTop="1" thickBot="1" x14ac:dyDescent="0.3">
      <c r="A5" s="91" t="s">
        <v>397</v>
      </c>
      <c r="B5" s="91" t="s">
        <v>398</v>
      </c>
      <c r="C5" s="92" t="s">
        <v>399</v>
      </c>
      <c r="E5" s="265" t="s">
        <v>407</v>
      </c>
      <c r="F5" s="265"/>
      <c r="G5" s="265"/>
      <c r="H5" s="265"/>
      <c r="I5" s="219"/>
      <c r="N5" s="171" t="s">
        <v>389</v>
      </c>
      <c r="O5" s="204">
        <v>40676</v>
      </c>
      <c r="P5" s="190">
        <v>1</v>
      </c>
      <c r="R5" s="209" t="s">
        <v>387</v>
      </c>
      <c r="S5" s="210" t="s">
        <v>190</v>
      </c>
      <c r="T5" s="209" t="s">
        <v>395</v>
      </c>
    </row>
    <row r="6" spans="1:21" ht="15.75" thickTop="1" x14ac:dyDescent="0.25">
      <c r="A6" s="98" t="s">
        <v>400</v>
      </c>
      <c r="B6" s="98" t="s">
        <v>403</v>
      </c>
      <c r="C6" s="211">
        <v>76</v>
      </c>
      <c r="E6" s="222" t="s">
        <v>409</v>
      </c>
      <c r="F6" s="222"/>
      <c r="G6" s="222"/>
      <c r="H6" s="222"/>
      <c r="I6" s="222"/>
      <c r="N6" s="175" t="s">
        <v>389</v>
      </c>
      <c r="O6" s="205">
        <v>40707</v>
      </c>
      <c r="P6" s="191">
        <v>3</v>
      </c>
      <c r="R6" t="s">
        <v>392</v>
      </c>
      <c r="S6" s="22">
        <f t="array" ref="S6">SUM((Employee=$R6)*(Date&gt;=DATEVALUE("1/05/2011"))*(Date&lt;=DATEVALUE("31/05/2011")))</f>
        <v>3</v>
      </c>
      <c r="T6" s="22">
        <f t="array" ref="T6">SUM((Employee=$R6)*(Date&gt;=DATEVALUE("01/06/2011"))*(Date&lt;=DATEVALUE("30/06/2011")))</f>
        <v>3</v>
      </c>
    </row>
    <row r="7" spans="1:21" x14ac:dyDescent="0.25">
      <c r="A7" s="99" t="s">
        <v>401</v>
      </c>
      <c r="B7" s="99" t="s">
        <v>404</v>
      </c>
      <c r="C7" s="212">
        <v>94</v>
      </c>
      <c r="E7" s="224" t="s">
        <v>405</v>
      </c>
      <c r="F7" s="223"/>
      <c r="G7" s="223"/>
      <c r="H7" s="223"/>
      <c r="I7" s="223"/>
      <c r="N7" s="171" t="s">
        <v>391</v>
      </c>
      <c r="O7" s="204">
        <v>40706</v>
      </c>
      <c r="P7" s="190">
        <v>1</v>
      </c>
      <c r="R7" s="22" t="s">
        <v>393</v>
      </c>
      <c r="S7" s="22">
        <f t="array" ref="S7">SUM((Employee=$R7)*(Date&gt;=DATEVALUE("1/05/2011"))*(Date&lt;=DATEVALUE("31/05/2011")))</f>
        <v>2</v>
      </c>
      <c r="T7" s="22">
        <f t="array" ref="T7">SUM((Employee=$R7)*(Date&gt;=DATEVALUE("01/06/2011"))*(Date&lt;=DATEVALUE("30/06/2011")))</f>
        <v>1</v>
      </c>
    </row>
    <row r="8" spans="1:21" x14ac:dyDescent="0.25">
      <c r="A8" s="98" t="s">
        <v>402</v>
      </c>
      <c r="B8" s="98" t="s">
        <v>403</v>
      </c>
      <c r="C8" s="211">
        <v>54</v>
      </c>
      <c r="E8" s="227" t="s">
        <v>416</v>
      </c>
      <c r="F8" s="227">
        <f>SUMIFS(Sales,Sales_Person,"John",Region,"North")</f>
        <v>142</v>
      </c>
      <c r="N8" s="175" t="s">
        <v>388</v>
      </c>
      <c r="O8" s="205">
        <v>40716</v>
      </c>
      <c r="P8" s="191">
        <v>3</v>
      </c>
      <c r="R8" s="50" t="s">
        <v>389</v>
      </c>
      <c r="S8" s="22">
        <f t="array" ref="S8">SUM((Employee=$R8)*(Date&gt;=DATEVALUE("1/05/2011"))*(Date&lt;=DATEVALUE("31/05/2011")))</f>
        <v>2</v>
      </c>
      <c r="T8" s="22">
        <f t="array" ref="T8">SUM((Employee=$R8)*(Date&gt;=DATEVALUE("01/06/2011"))*(Date&lt;=DATEVALUE("30/06/2011")))</f>
        <v>3</v>
      </c>
    </row>
    <row r="9" spans="1:21" x14ac:dyDescent="0.25">
      <c r="A9" s="99" t="s">
        <v>400</v>
      </c>
      <c r="B9" s="214" t="s">
        <v>403</v>
      </c>
      <c r="C9" s="212">
        <v>66</v>
      </c>
      <c r="N9" s="171" t="s">
        <v>392</v>
      </c>
      <c r="O9" s="204">
        <v>40691</v>
      </c>
      <c r="P9" s="190">
        <v>4</v>
      </c>
      <c r="R9" s="50" t="s">
        <v>388</v>
      </c>
      <c r="S9" s="22">
        <f t="array" ref="S9">SUM((Employee=$R9)*(Date&gt;=DATEVALUE("1/05/2011"))*(Date&lt;=DATEVALUE("31/05/2011")))</f>
        <v>1</v>
      </c>
      <c r="T9" s="22">
        <f t="array" ref="T9">SUM((Employee=$R9)*(Date&gt;=DATEVALUE("01/06/2011"))*(Date&lt;=DATEVALUE("30/06/2011")))</f>
        <v>1</v>
      </c>
    </row>
    <row r="10" spans="1:21" x14ac:dyDescent="0.25">
      <c r="A10" s="98" t="s">
        <v>401</v>
      </c>
      <c r="B10" s="98" t="s">
        <v>404</v>
      </c>
      <c r="C10" s="211">
        <v>70</v>
      </c>
      <c r="E10" s="265" t="s">
        <v>408</v>
      </c>
      <c r="F10" s="265"/>
      <c r="G10" s="265"/>
      <c r="H10" s="265"/>
      <c r="I10" s="219"/>
      <c r="N10" s="175" t="s">
        <v>392</v>
      </c>
      <c r="O10" s="205">
        <v>40706</v>
      </c>
      <c r="P10" s="191">
        <v>1</v>
      </c>
      <c r="R10" s="50" t="s">
        <v>391</v>
      </c>
      <c r="S10" s="22">
        <f t="array" ref="S10">SUM((Employee=$R10)*(Date&gt;=DATEVALUE("1/05/2011"))*(Date&lt;=DATEVALUE("31/05/2011")))</f>
        <v>2</v>
      </c>
      <c r="T10" s="22">
        <f t="array" ref="T10">SUM((Employee=$R10)*(Date&gt;=DATEVALUE("01/06/2011"))*(Date&lt;=DATEVALUE("30/06/2011")))</f>
        <v>4</v>
      </c>
    </row>
    <row r="11" spans="1:21" x14ac:dyDescent="0.25">
      <c r="A11" s="100" t="s">
        <v>402</v>
      </c>
      <c r="B11" s="100" t="s">
        <v>403</v>
      </c>
      <c r="C11" s="213">
        <v>80</v>
      </c>
      <c r="E11" s="266" t="s">
        <v>410</v>
      </c>
      <c r="F11" s="266"/>
      <c r="G11" s="266"/>
      <c r="H11" s="266"/>
      <c r="I11" s="266"/>
      <c r="N11" s="171" t="s">
        <v>389</v>
      </c>
      <c r="O11" s="204">
        <v>40716</v>
      </c>
      <c r="P11" s="190">
        <v>1</v>
      </c>
      <c r="R11" s="50" t="s">
        <v>390</v>
      </c>
      <c r="S11" s="22">
        <f t="array" ref="S11">SUM((Employee=$R11)*(Date&gt;=DATEVALUE("1/05/2011"))*(Date&lt;=DATEVALUE("31/05/2011")))</f>
        <v>4</v>
      </c>
      <c r="T11" s="22">
        <f t="array" ref="T11">SUM((Employee=$R11)*(Date&gt;=DATEVALUE("01/06/2011"))*(Date&lt;=DATEVALUE("30/06/2011")))</f>
        <v>2</v>
      </c>
    </row>
    <row r="12" spans="1:21" x14ac:dyDescent="0.25">
      <c r="E12" s="266"/>
      <c r="F12" s="266"/>
      <c r="G12" s="266"/>
      <c r="H12" s="266"/>
      <c r="I12" s="266"/>
      <c r="N12" s="175" t="s">
        <v>394</v>
      </c>
      <c r="O12" s="205">
        <v>40716</v>
      </c>
      <c r="P12" s="191">
        <v>1</v>
      </c>
      <c r="R12" s="50" t="s">
        <v>394</v>
      </c>
      <c r="S12" s="22">
        <f t="array" ref="S12">SUM((Employee=$R12)*(Date&gt;=DATEVALUE("1/05/2011"))*(Date&lt;=DATEVALUE("31/05/2011")))</f>
        <v>1</v>
      </c>
      <c r="T12" s="22">
        <f t="array" ref="T12">SUM((Employee=$R12)*(Date&gt;=DATEVALUE("01/06/2011"))*(Date&lt;=DATEVALUE("30/06/2011")))</f>
        <v>4</v>
      </c>
    </row>
    <row r="13" spans="1:21" x14ac:dyDescent="0.25">
      <c r="E13" s="267" t="s">
        <v>406</v>
      </c>
      <c r="F13" s="267"/>
      <c r="G13" s="267"/>
      <c r="H13" s="267"/>
      <c r="I13" s="267"/>
      <c r="N13" s="171" t="s">
        <v>390</v>
      </c>
      <c r="O13" s="204">
        <v>40698</v>
      </c>
      <c r="P13" s="190">
        <v>2</v>
      </c>
      <c r="R13" s="216" t="s">
        <v>16</v>
      </c>
      <c r="S13" s="217">
        <f>SUM(S6:S12)</f>
        <v>15</v>
      </c>
      <c r="T13" s="217">
        <f>SUM(T6:T12)</f>
        <v>18</v>
      </c>
    </row>
    <row r="14" spans="1:21" x14ac:dyDescent="0.25">
      <c r="E14" s="267"/>
      <c r="F14" s="267"/>
      <c r="G14" s="267"/>
      <c r="H14" s="267"/>
      <c r="I14" s="267"/>
      <c r="N14" s="175" t="s">
        <v>388</v>
      </c>
      <c r="O14" s="205">
        <v>40664</v>
      </c>
      <c r="P14" s="191">
        <v>4</v>
      </c>
      <c r="R14" s="50"/>
    </row>
    <row r="15" spans="1:21" ht="15.75" x14ac:dyDescent="0.25">
      <c r="A15" s="197" t="s">
        <v>411</v>
      </c>
      <c r="E15" s="227" t="s">
        <v>416</v>
      </c>
      <c r="F15" s="227">
        <f t="array" ref="F15">SUM((Sales)*((Sales_Person="John")+(Sales_Person="Jim"))*((Region="North")+(Region="South")))</f>
        <v>306</v>
      </c>
      <c r="N15" s="171" t="s">
        <v>391</v>
      </c>
      <c r="O15" s="204">
        <v>40665</v>
      </c>
      <c r="P15" s="190">
        <v>1</v>
      </c>
      <c r="R15" s="50"/>
    </row>
    <row r="16" spans="1:21" x14ac:dyDescent="0.25">
      <c r="N16" s="175" t="s">
        <v>390</v>
      </c>
      <c r="O16" s="205">
        <v>40672</v>
      </c>
      <c r="P16" s="191">
        <v>3</v>
      </c>
      <c r="S16" s="264" t="s">
        <v>414</v>
      </c>
      <c r="T16" s="264"/>
    </row>
    <row r="17" spans="1:25" ht="15.75" thickBot="1" x14ac:dyDescent="0.3">
      <c r="A17" s="2" t="s">
        <v>397</v>
      </c>
      <c r="B17" s="2" t="s">
        <v>398</v>
      </c>
      <c r="C17" s="2" t="s">
        <v>399</v>
      </c>
      <c r="D17" s="2" t="s">
        <v>24</v>
      </c>
      <c r="N17" s="171" t="s">
        <v>390</v>
      </c>
      <c r="O17" s="204">
        <v>40667</v>
      </c>
      <c r="P17" s="190">
        <v>4</v>
      </c>
      <c r="R17" s="209" t="s">
        <v>387</v>
      </c>
      <c r="S17" s="210" t="s">
        <v>190</v>
      </c>
      <c r="T17" s="209" t="s">
        <v>395</v>
      </c>
    </row>
    <row r="18" spans="1:25" ht="15.75" thickTop="1" x14ac:dyDescent="0.25">
      <c r="A18" s="104">
        <v>1</v>
      </c>
      <c r="B18" s="104">
        <v>1</v>
      </c>
      <c r="C18" s="101">
        <v>76</v>
      </c>
      <c r="D18" s="101">
        <f>A18*B18*C18</f>
        <v>76</v>
      </c>
      <c r="N18" s="175" t="s">
        <v>392</v>
      </c>
      <c r="O18" s="205">
        <v>40675</v>
      </c>
      <c r="P18" s="191">
        <v>1</v>
      </c>
      <c r="R18" t="s">
        <v>392</v>
      </c>
      <c r="S18" s="22">
        <f t="array" ref="S18">SUM((Employee=$R18)*(Date&gt;=DATEVALUE("1/05/2011"))*(Date&lt;=DATEVALUE("31/05/2011")*(Overtime&gt;1)))</f>
        <v>2</v>
      </c>
      <c r="T18" s="22">
        <f t="array" ref="T18">SUM((Employee=$R18)*(Date&gt;=DATEVALUE("1/06/2011"))*(Date&lt;=DATEVALUE("30/06/2011")*(Overtime&gt;1)))</f>
        <v>2</v>
      </c>
    </row>
    <row r="19" spans="1:25" x14ac:dyDescent="0.25">
      <c r="A19" s="105">
        <v>1</v>
      </c>
      <c r="B19" s="105">
        <v>1</v>
      </c>
      <c r="C19" s="102">
        <v>94</v>
      </c>
      <c r="D19" s="102">
        <f t="shared" ref="D19:D23" si="0">A19*B19*C19</f>
        <v>94</v>
      </c>
      <c r="N19" s="171" t="s">
        <v>391</v>
      </c>
      <c r="O19" s="204">
        <v>40706</v>
      </c>
      <c r="P19" s="190">
        <v>1</v>
      </c>
      <c r="R19" s="22" t="s">
        <v>393</v>
      </c>
      <c r="S19" s="22">
        <f t="array" ref="S19">SUM((Employee=$R19)*(Date&gt;=DATEVALUE("1/05/2011"))*(Date&lt;=DATEVALUE("31/05/2011")*(Overtime&gt;1)))</f>
        <v>2</v>
      </c>
      <c r="T19" s="22">
        <f t="array" ref="T19">SUM((Employee=$R19)*(Date&gt;=DATEVALUE("1/06/2011"))*(Date&lt;=DATEVALUE("30/06/2011")*(Overtime&gt;1)))</f>
        <v>0</v>
      </c>
      <c r="W19" s="49"/>
      <c r="Y19" s="49"/>
    </row>
    <row r="20" spans="1:25" x14ac:dyDescent="0.25">
      <c r="A20" s="104">
        <v>0</v>
      </c>
      <c r="B20" s="104">
        <v>1</v>
      </c>
      <c r="C20" s="101">
        <v>54</v>
      </c>
      <c r="D20" s="101">
        <f t="shared" si="0"/>
        <v>0</v>
      </c>
      <c r="N20" s="175" t="s">
        <v>393</v>
      </c>
      <c r="O20" s="205">
        <v>40716</v>
      </c>
      <c r="P20" s="191">
        <v>1</v>
      </c>
      <c r="R20" s="50" t="s">
        <v>389</v>
      </c>
      <c r="S20" s="22">
        <f t="array" ref="S20">SUM((Employee=$R20)*(Date&gt;=DATEVALUE("1/05/2011"))*(Date&lt;=DATEVALUE("31/05/2011")*(Overtime&gt;1)))</f>
        <v>1</v>
      </c>
      <c r="T20" s="22">
        <f t="array" ref="T20">SUM((Employee=$R20)*(Date&gt;=DATEVALUE("1/06/2011"))*(Date&lt;=DATEVALUE("30/06/2011")*(Overtime&gt;1)))</f>
        <v>1</v>
      </c>
      <c r="W20" s="49"/>
      <c r="Y20" s="49"/>
    </row>
    <row r="21" spans="1:25" x14ac:dyDescent="0.25">
      <c r="A21" s="105">
        <v>1</v>
      </c>
      <c r="B21" s="116">
        <v>1</v>
      </c>
      <c r="C21" s="102">
        <v>66</v>
      </c>
      <c r="D21" s="102">
        <f t="shared" si="0"/>
        <v>66</v>
      </c>
      <c r="N21" s="171" t="s">
        <v>394</v>
      </c>
      <c r="O21" s="204">
        <v>40699</v>
      </c>
      <c r="P21" s="190">
        <v>1</v>
      </c>
      <c r="R21" s="50" t="s">
        <v>388</v>
      </c>
      <c r="S21" s="22">
        <f t="array" ref="S21">SUM((Employee=$R21)*(Date&gt;=DATEVALUE("1/05/2011"))*(Date&lt;=DATEVALUE("31/05/2011")*(Overtime&gt;1)))</f>
        <v>1</v>
      </c>
      <c r="T21" s="22">
        <f t="array" ref="T21">SUM((Employee=$R21)*(Date&gt;=DATEVALUE("1/06/2011"))*(Date&lt;=DATEVALUE("30/06/2011")*(Overtime&gt;1)))</f>
        <v>1</v>
      </c>
      <c r="W21" s="49"/>
      <c r="Y21" s="49"/>
    </row>
    <row r="22" spans="1:25" x14ac:dyDescent="0.25">
      <c r="A22" s="104">
        <v>1</v>
      </c>
      <c r="B22" s="104">
        <v>1</v>
      </c>
      <c r="C22" s="101">
        <v>70</v>
      </c>
      <c r="D22" s="101">
        <f t="shared" si="0"/>
        <v>70</v>
      </c>
      <c r="N22" s="175" t="s">
        <v>392</v>
      </c>
      <c r="O22" s="205">
        <v>40714</v>
      </c>
      <c r="P22" s="191">
        <v>4</v>
      </c>
      <c r="R22" s="50" t="s">
        <v>391</v>
      </c>
      <c r="S22" s="22">
        <f t="array" ref="S22">SUM((Employee=$R22)*(Date&gt;=DATEVALUE("1/05/2011"))*(Date&lt;=DATEVALUE("31/05/2011")*(Overtime&gt;1)))</f>
        <v>0</v>
      </c>
      <c r="T22" s="22">
        <f t="array" ref="T22">SUM((Employee=$R22)*(Date&gt;=DATEVALUE("1/06/2011"))*(Date&lt;=DATEVALUE("30/06/2011")*(Overtime&gt;1)))</f>
        <v>2</v>
      </c>
      <c r="W22" s="49"/>
      <c r="Y22" s="49"/>
    </row>
    <row r="23" spans="1:25" x14ac:dyDescent="0.25">
      <c r="A23" s="218">
        <v>0</v>
      </c>
      <c r="B23" s="218">
        <v>1</v>
      </c>
      <c r="C23" s="103">
        <v>80</v>
      </c>
      <c r="D23" s="103">
        <f t="shared" si="0"/>
        <v>0</v>
      </c>
      <c r="N23" s="171" t="s">
        <v>394</v>
      </c>
      <c r="O23" s="204">
        <v>40666</v>
      </c>
      <c r="P23" s="190">
        <v>2</v>
      </c>
      <c r="R23" s="50" t="s">
        <v>390</v>
      </c>
      <c r="S23" s="22">
        <f t="array" ref="S23">SUM((Employee=$R23)*(Date&gt;=DATEVALUE("1/05/2011"))*(Date&lt;=DATEVALUE("31/05/2011")*(Overtime&gt;1)))</f>
        <v>3</v>
      </c>
      <c r="T23" s="22">
        <f t="array" ref="T23">SUM((Employee=$R23)*(Date&gt;=DATEVALUE("1/06/2011"))*(Date&lt;=DATEVALUE("30/06/2011")*(Overtime&gt;1)))</f>
        <v>2</v>
      </c>
      <c r="W23" s="49"/>
      <c r="Y23" s="49"/>
    </row>
    <row r="24" spans="1:25" x14ac:dyDescent="0.25">
      <c r="C24" s="37"/>
      <c r="D24" s="37">
        <f>SUM(D18:D23)</f>
        <v>306</v>
      </c>
      <c r="N24" s="175" t="s">
        <v>390</v>
      </c>
      <c r="O24" s="205">
        <v>40674</v>
      </c>
      <c r="P24" s="191">
        <v>3</v>
      </c>
      <c r="R24" s="50" t="s">
        <v>394</v>
      </c>
      <c r="S24" s="22">
        <f t="array" ref="S24">SUM((Employee=$R24)*(Date&gt;=DATEVALUE("1/05/2011"))*(Date&lt;=DATEVALUE("31/05/2011")*(Overtime&gt;1)))</f>
        <v>1</v>
      </c>
      <c r="T24" s="22">
        <f t="array" ref="T24">SUM((Employee=$R24)*(Date&gt;=DATEVALUE("1/06/2011"))*(Date&lt;=DATEVALUE("30/06/2011")*(Overtime&gt;1)))</f>
        <v>2</v>
      </c>
      <c r="W24" s="49"/>
      <c r="Y24" s="49"/>
    </row>
    <row r="25" spans="1:25" x14ac:dyDescent="0.25">
      <c r="N25" s="171" t="s">
        <v>393</v>
      </c>
      <c r="O25" s="204">
        <v>40681</v>
      </c>
      <c r="P25" s="190">
        <v>4</v>
      </c>
      <c r="R25" s="216" t="s">
        <v>16</v>
      </c>
      <c r="S25" s="217">
        <f>SUM(S18:S24)</f>
        <v>10</v>
      </c>
      <c r="T25" s="217">
        <f>SUM(T18:T24)</f>
        <v>10</v>
      </c>
      <c r="W25" s="49"/>
      <c r="Y25" s="49"/>
    </row>
    <row r="26" spans="1:25" x14ac:dyDescent="0.25">
      <c r="N26" s="175" t="s">
        <v>389</v>
      </c>
      <c r="O26" s="205">
        <v>40686</v>
      </c>
      <c r="P26" s="191">
        <v>4</v>
      </c>
      <c r="R26" s="225"/>
      <c r="S26" s="226"/>
      <c r="T26" s="226"/>
      <c r="W26" s="49"/>
      <c r="Y26" s="49"/>
    </row>
    <row r="27" spans="1:25" x14ac:dyDescent="0.25">
      <c r="N27" s="171" t="s">
        <v>390</v>
      </c>
      <c r="O27" s="204">
        <v>40695</v>
      </c>
      <c r="P27" s="190">
        <v>3</v>
      </c>
    </row>
    <row r="28" spans="1:25" x14ac:dyDescent="0.25">
      <c r="N28" s="175" t="s">
        <v>392</v>
      </c>
      <c r="O28" s="205">
        <v>40688</v>
      </c>
      <c r="P28" s="191">
        <v>3</v>
      </c>
      <c r="S28" s="264" t="s">
        <v>415</v>
      </c>
      <c r="T28" s="264"/>
    </row>
    <row r="29" spans="1:25" x14ac:dyDescent="0.25">
      <c r="N29" s="171" t="s">
        <v>390</v>
      </c>
      <c r="O29" s="204">
        <v>40667</v>
      </c>
      <c r="P29" s="190">
        <v>1</v>
      </c>
      <c r="R29" s="209" t="s">
        <v>387</v>
      </c>
      <c r="S29" s="210" t="s">
        <v>190</v>
      </c>
      <c r="T29" s="209" t="s">
        <v>395</v>
      </c>
    </row>
    <row r="30" spans="1:25" x14ac:dyDescent="0.25">
      <c r="N30" s="175" t="s">
        <v>391</v>
      </c>
      <c r="O30" s="205">
        <v>40701</v>
      </c>
      <c r="P30" s="191">
        <v>3</v>
      </c>
      <c r="R30" t="s">
        <v>392</v>
      </c>
      <c r="S30" s="49">
        <f t="array" ref="S30">AVERAGE(IF((Employee=$R30)*(Date&gt;=DATEVALUE("1/05/2011"))*(Date&lt;=DATEVALUE("31/05/2011")),Overtime))</f>
        <v>2.6666666666666665</v>
      </c>
      <c r="T30" s="49">
        <f t="array" ref="T30">AVERAGE(IF((Employee=$R30)*(Date&gt;=DATEVALUE("1/06/2011"))*(Date&lt;=DATEVALUE("30/06/2011")),Overtime))</f>
        <v>3</v>
      </c>
    </row>
    <row r="31" spans="1:25" x14ac:dyDescent="0.25">
      <c r="N31" s="171" t="s">
        <v>391</v>
      </c>
      <c r="O31" s="204">
        <v>40703</v>
      </c>
      <c r="P31" s="190">
        <v>2</v>
      </c>
      <c r="R31" s="22" t="s">
        <v>393</v>
      </c>
      <c r="S31" s="49">
        <f t="array" ref="S31">AVERAGE(IF((Employee=$R31)*(Date&gt;=DATEVALUE("1/05/2011"))*(Date&lt;=DATEVALUE("31/05/2011")),Overtime))</f>
        <v>3.5</v>
      </c>
      <c r="T31" s="49">
        <f t="array" ref="T31">AVERAGE(IF((Employee=$R31)*(Date&gt;=DATEVALUE("1/06/2011"))*(Date&lt;=DATEVALUE("30/06/2011")),Overtime))</f>
        <v>1</v>
      </c>
    </row>
    <row r="32" spans="1:25" x14ac:dyDescent="0.25">
      <c r="N32" s="175" t="s">
        <v>389</v>
      </c>
      <c r="O32" s="205">
        <v>40704</v>
      </c>
      <c r="P32" s="191">
        <v>1</v>
      </c>
      <c r="R32" s="50" t="s">
        <v>389</v>
      </c>
      <c r="S32" s="49">
        <f t="array" ref="S32">AVERAGE(IF((Employee=$R32)*(Date&gt;=DATEVALUE("1/05/2011"))*(Date&lt;=DATEVALUE("31/05/2011")),Overtime))</f>
        <v>2.5</v>
      </c>
      <c r="T32" s="49">
        <f t="array" ref="T32">AVERAGE(IF((Employee=$R32)*(Date&gt;=DATEVALUE("1/06/2011"))*(Date&lt;=DATEVALUE("30/06/2011")),Overtime))</f>
        <v>1.6666666666666667</v>
      </c>
    </row>
    <row r="33" spans="14:20" x14ac:dyDescent="0.25">
      <c r="N33" s="171" t="s">
        <v>392</v>
      </c>
      <c r="O33" s="204">
        <v>40722</v>
      </c>
      <c r="P33" s="190">
        <v>4</v>
      </c>
      <c r="R33" s="50" t="s">
        <v>388</v>
      </c>
      <c r="S33" s="49">
        <f t="array" ref="S33">AVERAGE(IF((Employee=$R33)*(Date&gt;=DATEVALUE("1/05/2011"))*(Date&lt;=DATEVALUE("31/05/2011")),Overtime))</f>
        <v>4</v>
      </c>
      <c r="T33" s="49">
        <f t="array" ref="T33">AVERAGE(IF((Employee=$R33)*(Date&gt;=DATEVALUE("1/06/2011"))*(Date&lt;=DATEVALUE("30/06/2011")),Overtime))</f>
        <v>3</v>
      </c>
    </row>
    <row r="34" spans="14:20" x14ac:dyDescent="0.25">
      <c r="N34" s="175" t="s">
        <v>391</v>
      </c>
      <c r="O34" s="205">
        <v>40671</v>
      </c>
      <c r="P34" s="191">
        <v>1</v>
      </c>
      <c r="R34" s="50" t="s">
        <v>391</v>
      </c>
      <c r="S34" s="49">
        <f t="array" ref="S34">AVERAGE(IF((Employee=$R34)*(Date&gt;=DATEVALUE("1/05/2011"))*(Date&lt;=DATEVALUE("31/05/2011")),Overtime))</f>
        <v>1</v>
      </c>
      <c r="T34" s="49">
        <f t="array" ref="T34">AVERAGE(IF((Employee=$R34)*(Date&gt;=DATEVALUE("1/06/2011"))*(Date&lt;=DATEVALUE("30/06/2011")),Overtime))</f>
        <v>1.75</v>
      </c>
    </row>
    <row r="35" spans="14:20" x14ac:dyDescent="0.25">
      <c r="N35" s="171" t="s">
        <v>394</v>
      </c>
      <c r="O35" s="204">
        <v>40702</v>
      </c>
      <c r="P35" s="190">
        <v>4</v>
      </c>
      <c r="R35" s="50" t="s">
        <v>390</v>
      </c>
      <c r="S35" s="49">
        <f t="array" ref="S35">AVERAGE(IF((Employee=$R35)*(Date&gt;=DATEVALUE("1/05/2011"))*(Date&lt;=DATEVALUE("31/05/2011")),Overtime))</f>
        <v>2.75</v>
      </c>
      <c r="T35" s="49">
        <f t="array" ref="T35">AVERAGE(IF((Employee=$R35)*(Date&gt;=DATEVALUE("1/06/2011"))*(Date&lt;=DATEVALUE("30/06/2011")),Overtime))</f>
        <v>2.5</v>
      </c>
    </row>
    <row r="36" spans="14:20" x14ac:dyDescent="0.25">
      <c r="N36" s="175" t="s">
        <v>393</v>
      </c>
      <c r="O36" s="205">
        <v>40690</v>
      </c>
      <c r="P36" s="191">
        <v>3</v>
      </c>
      <c r="R36" s="50" t="s">
        <v>394</v>
      </c>
      <c r="S36" s="49">
        <f t="array" ref="S36">AVERAGE(IF((Employee=$R36)*(Date&gt;=DATEVALUE("1/05/2011"))*(Date&lt;=DATEVALUE("31/05/2011")),Overtime))</f>
        <v>2</v>
      </c>
      <c r="T36" s="49">
        <f t="array" ref="T36">AVERAGE(IF((Employee=$R36)*(Date&gt;=DATEVALUE("1/06/2011"))*(Date&lt;=DATEVALUE("30/06/2011")),Overtime))</f>
        <v>2.25</v>
      </c>
    </row>
    <row r="37" spans="14:20" x14ac:dyDescent="0.25">
      <c r="N37" s="179" t="s">
        <v>394</v>
      </c>
      <c r="O37" s="206">
        <v>40703</v>
      </c>
      <c r="P37" s="192">
        <v>3</v>
      </c>
      <c r="R37" s="216" t="s">
        <v>16</v>
      </c>
      <c r="S37" s="221">
        <f t="array" ref="S37">AVERAGE(IF((Date&gt;=DATEVALUE("1/05/2011"))*(Date&lt;=DATEVALUE("31/05/2011")),Overtime))</f>
        <v>2.6</v>
      </c>
      <c r="T37" s="221">
        <f t="array" ref="T37">AVERAGE(IF((Date&gt;=DATEVALUE("1/06/2011"))*(Date&lt;=DATEVALUE("30/06/2011")),Overtime))</f>
        <v>2.1666666666666665</v>
      </c>
    </row>
  </sheetData>
  <mergeCells count="7">
    <mergeCell ref="S4:T4"/>
    <mergeCell ref="E10:H10"/>
    <mergeCell ref="E5:H5"/>
    <mergeCell ref="S16:T16"/>
    <mergeCell ref="S28:T28"/>
    <mergeCell ref="E11:I12"/>
    <mergeCell ref="E13:I14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0"/>
  <sheetViews>
    <sheetView workbookViewId="0">
      <selection activeCell="G18" sqref="G18"/>
    </sheetView>
  </sheetViews>
  <sheetFormatPr defaultRowHeight="15" x14ac:dyDescent="0.25"/>
  <cols>
    <col min="1" max="1" width="9" style="37" customWidth="1"/>
    <col min="2" max="2" width="24.28515625" customWidth="1"/>
    <col min="3" max="3" width="18.140625" bestFit="1" customWidth="1"/>
    <col min="4" max="4" width="11.7109375" customWidth="1"/>
  </cols>
  <sheetData>
    <row r="1" spans="1:7" ht="18.75" x14ac:dyDescent="0.3">
      <c r="A1" s="143" t="s">
        <v>417</v>
      </c>
    </row>
    <row r="3" spans="1:7" ht="15.75" thickBot="1" x14ac:dyDescent="0.3">
      <c r="A3" s="207" t="s">
        <v>440</v>
      </c>
      <c r="B3" s="232" t="s">
        <v>419</v>
      </c>
      <c r="C3" s="232" t="s">
        <v>420</v>
      </c>
      <c r="D3" s="228" t="s">
        <v>418</v>
      </c>
    </row>
    <row r="4" spans="1:7" ht="15.75" thickTop="1" x14ac:dyDescent="0.25">
      <c r="A4" s="229">
        <v>1</v>
      </c>
      <c r="B4" s="233" t="s">
        <v>429</v>
      </c>
      <c r="C4" s="233" t="s">
        <v>430</v>
      </c>
      <c r="D4" s="237">
        <v>19.77</v>
      </c>
    </row>
    <row r="5" spans="1:7" x14ac:dyDescent="0.25">
      <c r="A5" s="230">
        <v>2</v>
      </c>
      <c r="B5" s="240" t="s">
        <v>443</v>
      </c>
      <c r="C5" s="234" t="s">
        <v>431</v>
      </c>
      <c r="D5" s="238">
        <v>8.2200000000000006</v>
      </c>
    </row>
    <row r="6" spans="1:7" x14ac:dyDescent="0.25">
      <c r="A6" s="229">
        <v>3</v>
      </c>
      <c r="B6" s="233" t="s">
        <v>421</v>
      </c>
      <c r="C6" s="233" t="s">
        <v>430</v>
      </c>
      <c r="D6" s="237">
        <v>18.809999999999999</v>
      </c>
      <c r="F6" s="120" t="s">
        <v>438</v>
      </c>
    </row>
    <row r="7" spans="1:7" x14ac:dyDescent="0.25">
      <c r="A7" s="230">
        <v>4</v>
      </c>
      <c r="B7" s="234" t="s">
        <v>422</v>
      </c>
      <c r="C7" s="234" t="s">
        <v>432</v>
      </c>
      <c r="D7" s="238">
        <v>4.9400000000000004</v>
      </c>
      <c r="F7">
        <f>COLUMNS(B4:D4)</f>
        <v>3</v>
      </c>
      <c r="G7" t="s">
        <v>439</v>
      </c>
    </row>
    <row r="8" spans="1:7" x14ac:dyDescent="0.25">
      <c r="A8" s="229">
        <v>5</v>
      </c>
      <c r="B8" s="233" t="s">
        <v>423</v>
      </c>
      <c r="C8" s="233" t="s">
        <v>433</v>
      </c>
      <c r="D8" s="237">
        <v>7.99</v>
      </c>
    </row>
    <row r="9" spans="1:7" x14ac:dyDescent="0.25">
      <c r="A9" s="230">
        <v>6</v>
      </c>
      <c r="B9" s="234" t="s">
        <v>424</v>
      </c>
      <c r="C9" s="234" t="s">
        <v>434</v>
      </c>
      <c r="D9" s="238">
        <v>9.34</v>
      </c>
      <c r="F9" s="120" t="s">
        <v>441</v>
      </c>
    </row>
    <row r="10" spans="1:7" x14ac:dyDescent="0.25">
      <c r="A10" s="229">
        <v>7</v>
      </c>
      <c r="B10" s="233" t="s">
        <v>425</v>
      </c>
      <c r="C10" s="233" t="s">
        <v>435</v>
      </c>
      <c r="D10" s="237">
        <v>13.99</v>
      </c>
      <c r="F10">
        <f>ROWS(B4:B4)</f>
        <v>1</v>
      </c>
      <c r="G10" t="s">
        <v>442</v>
      </c>
    </row>
    <row r="11" spans="1:7" x14ac:dyDescent="0.25">
      <c r="A11" s="230">
        <v>8</v>
      </c>
      <c r="B11" s="234" t="s">
        <v>426</v>
      </c>
      <c r="C11" s="234" t="s">
        <v>436</v>
      </c>
      <c r="D11" s="238">
        <v>15.21</v>
      </c>
    </row>
    <row r="12" spans="1:7" x14ac:dyDescent="0.25">
      <c r="A12" s="229">
        <v>9</v>
      </c>
      <c r="B12" s="233" t="s">
        <v>427</v>
      </c>
      <c r="C12" s="233" t="s">
        <v>437</v>
      </c>
      <c r="D12" s="237">
        <v>13.78</v>
      </c>
    </row>
    <row r="13" spans="1:7" x14ac:dyDescent="0.25">
      <c r="A13" s="231">
        <v>10</v>
      </c>
      <c r="B13" s="235" t="s">
        <v>428</v>
      </c>
      <c r="C13" s="235" t="s">
        <v>432</v>
      </c>
      <c r="D13" s="239">
        <v>8.9700000000000006</v>
      </c>
    </row>
    <row r="15" spans="1:7" ht="15.75" thickBot="1" x14ac:dyDescent="0.3">
      <c r="B15" s="232" t="s">
        <v>419</v>
      </c>
      <c r="C15" s="232" t="s">
        <v>420</v>
      </c>
      <c r="D15" s="228" t="s">
        <v>418</v>
      </c>
    </row>
    <row r="16" spans="1:7" ht="15.75" thickTop="1" x14ac:dyDescent="0.25">
      <c r="B16" s="236" t="s">
        <v>421</v>
      </c>
      <c r="C16" s="236" t="str">
        <f>VLOOKUP($B16,$B$4:$D$13,COLUMNS($B:B)+1,0)</f>
        <v>George R.R.</v>
      </c>
      <c r="D16" s="168">
        <f>VLOOKUP($B16,$B$4:$D$13,COLUMNS($B:C)+1,0)</f>
        <v>18.809999999999999</v>
      </c>
    </row>
    <row r="30" spans="2:4" x14ac:dyDescent="0.25">
      <c r="B30" s="236"/>
      <c r="C30" s="236"/>
      <c r="D30" s="168"/>
    </row>
  </sheetData>
  <dataValidations count="1">
    <dataValidation type="list" allowBlank="1" showInputMessage="1" showErrorMessage="1" sqref="B16 B30">
      <formula1>$B$4:$B$13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Menu</vt:lpstr>
      <vt:lpstr>Time Calculations</vt:lpstr>
      <vt:lpstr>Cell Formatting</vt:lpstr>
      <vt:lpstr>Conditional Formatting</vt:lpstr>
      <vt:lpstr>Filters</vt:lpstr>
      <vt:lpstr>CHOOSE with VLOOKUP</vt:lpstr>
      <vt:lpstr>Insert a Subtotal</vt:lpstr>
      <vt:lpstr>Group &amp; Outline</vt:lpstr>
      <vt:lpstr>Text to Columns</vt:lpstr>
      <vt:lpstr>CONCATENATE</vt:lpstr>
      <vt:lpstr>T Function</vt:lpstr>
      <vt:lpstr>N Function</vt:lpstr>
      <vt:lpstr>Camera Tool</vt:lpstr>
      <vt:lpstr>Compound Interest</vt:lpstr>
      <vt:lpstr>RAND &amp; RANDBETWEEN</vt:lpstr>
      <vt:lpstr>Shapes &amp; Smart Art</vt:lpstr>
      <vt:lpstr>STDEV</vt:lpstr>
      <vt:lpstr>MIN &amp; MAX</vt:lpstr>
      <vt:lpstr>CHOOSE</vt:lpstr>
      <vt:lpstr>CEILING &amp; FLOOR</vt:lpstr>
      <vt:lpstr>UPPER &amp; LOWER</vt:lpstr>
      <vt:lpstr>TRIM</vt:lpstr>
      <vt:lpstr>SUMPRODUCT</vt:lpstr>
      <vt:lpstr>Array Formulas</vt:lpstr>
      <vt:lpstr>VLOOKUP COLUMNS</vt:lpstr>
      <vt:lpstr>bid</vt:lpstr>
      <vt:lpstr>Date</vt:lpstr>
      <vt:lpstr>DateCol</vt:lpstr>
      <vt:lpstr>duration</vt:lpstr>
      <vt:lpstr>Employee</vt:lpstr>
      <vt:lpstr>Filters!Extract</vt:lpstr>
      <vt:lpstr>'Insert a Subtotal'!Extract</vt:lpstr>
      <vt:lpstr>jumps</vt:lpstr>
      <vt:lpstr>negative</vt:lpstr>
      <vt:lpstr>Overtime</vt:lpstr>
      <vt:lpstr>positive</vt:lpstr>
      <vt:lpstr>price</vt:lpstr>
      <vt:lpstr>Menu!Print_Area</vt:lpstr>
      <vt:lpstr>STDEV!Print_Area</vt:lpstr>
      <vt:lpstr>Menu!Print_Titles</vt:lpstr>
      <vt:lpstr>range</vt:lpstr>
      <vt:lpstr>Region</vt:lpstr>
      <vt:lpstr>results</vt:lpstr>
      <vt:lpstr>Sales</vt:lpstr>
      <vt:lpstr>Sales_Person</vt:lpstr>
      <vt:lpstr>solarSystem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</cp:lastModifiedBy>
  <cp:lastPrinted>2011-04-13T03:39:04Z</cp:lastPrinted>
  <dcterms:created xsi:type="dcterms:W3CDTF">2010-12-17T01:29:19Z</dcterms:created>
  <dcterms:modified xsi:type="dcterms:W3CDTF">2015-06-16T03:30:17Z</dcterms:modified>
</cp:coreProperties>
</file>